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IRPLANEACION01\Desktop\TRABAJO ENERO 31\INFORMES DEFINITIVOS 2017\"/>
    </mc:Choice>
  </mc:AlternateContent>
  <bookViews>
    <workbookView xWindow="0" yWindow="0" windowWidth="24000" windowHeight="9735" tabRatio="672" firstSheet="7" activeTab="15"/>
  </bookViews>
  <sheets>
    <sheet name="S. ADMINISTRATIVA" sheetId="77" r:id="rId1"/>
    <sheet name="S. PLANEACIÓN" sheetId="85" r:id="rId2"/>
    <sheet name="S. HACIENDA" sheetId="78" r:id="rId3"/>
    <sheet name="S. AGUAS E INFRAESTRUCTURA" sheetId="83" r:id="rId4"/>
    <sheet name="S. INTERIOR" sheetId="90" r:id="rId5"/>
    <sheet name="CULTURA" sheetId="87" r:id="rId6"/>
    <sheet name="S. INDUSTRIA, COMERCIO ,TURISMO" sheetId="93" r:id="rId7"/>
    <sheet name="S. AGRICULTURA" sheetId="94" r:id="rId8"/>
    <sheet name="S. PRIVADA" sheetId="54" r:id="rId9"/>
    <sheet name="S. EDUCACIÓN" sheetId="86" r:id="rId10"/>
    <sheet name="S. FAMILIA" sheetId="102" r:id="rId11"/>
    <sheet name="S. REP. JUDICIAL" sheetId="79" r:id="rId12"/>
    <sheet name="S. SALUD" sheetId="97" r:id="rId13"/>
    <sheet name="INDEPORTES" sheetId="99" r:id="rId14"/>
    <sheet name="PROMOTORA" sheetId="98" r:id="rId15"/>
    <sheet name="IDTQ" sheetId="89" r:id="rId16"/>
  </sheets>
  <definedNames>
    <definedName name="_1._Apoyo_con_equipos_para_la_seguridad_vial_Licenciamiento_de_software_para_comunicaciones" localSheetId="13">#REF!</definedName>
    <definedName name="_1._Apoyo_con_equipos_para_la_seguridad_vial_Licenciamiento_de_software_para_comunicaciones" localSheetId="14">#REF!</definedName>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6">#REF!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_FilterDatabase" localSheetId="4" hidden="1">'S. INTERIOR'!$J$12:$AM$25</definedName>
    <definedName name="_xlnm.Print_Titles" localSheetId="1">'S. PLANEACIÓN'!$7:$8</definedName>
  </definedNames>
  <calcPr calcId="171026"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98" l="1"/>
  <c r="V44" i="99"/>
  <c r="R78" i="85"/>
  <c r="R77" i="85"/>
  <c r="R76" i="85"/>
  <c r="R75" i="85"/>
  <c r="R74" i="85"/>
  <c r="R73" i="85"/>
  <c r="R72" i="85"/>
  <c r="R71" i="85"/>
  <c r="R70" i="85"/>
  <c r="R69" i="85"/>
  <c r="S15" i="83"/>
  <c r="S16" i="83"/>
  <c r="R16" i="83"/>
  <c r="R15" i="83"/>
  <c r="R14" i="83"/>
  <c r="O56" i="86"/>
  <c r="O55" i="86"/>
  <c r="O54" i="86"/>
  <c r="O53" i="86"/>
  <c r="O52" i="86"/>
  <c r="O51" i="86"/>
  <c r="O50" i="86"/>
  <c r="O49" i="86"/>
  <c r="O48" i="86"/>
  <c r="O47" i="86"/>
  <c r="R21" i="98"/>
  <c r="R19" i="98"/>
  <c r="R17" i="98"/>
  <c r="R15" i="98"/>
  <c r="BC25" i="99"/>
  <c r="AB37" i="99"/>
  <c r="Z37" i="99"/>
  <c r="R55" i="94"/>
  <c r="R54" i="94"/>
  <c r="R53" i="94"/>
  <c r="R52" i="94"/>
  <c r="R48" i="94"/>
  <c r="R47" i="94"/>
  <c r="R44" i="94"/>
  <c r="R43" i="94"/>
  <c r="R42" i="94"/>
  <c r="R41" i="94"/>
  <c r="R22" i="94"/>
  <c r="R21" i="94"/>
  <c r="BC27" i="99"/>
  <c r="BA19" i="98"/>
  <c r="BB19" i="98"/>
  <c r="BC19" i="98"/>
  <c r="BC20" i="98"/>
  <c r="R13" i="98"/>
  <c r="BA13" i="98"/>
  <c r="BC13" i="98"/>
  <c r="BC17" i="98"/>
  <c r="BC18" i="98"/>
  <c r="W23" i="98"/>
  <c r="W24" i="98"/>
  <c r="BA15" i="98"/>
  <c r="BB15" i="98"/>
  <c r="BA21" i="98"/>
  <c r="BA22" i="98"/>
  <c r="BB22" i="98"/>
  <c r="BC21" i="98"/>
  <c r="Y23" i="98"/>
  <c r="W105" i="97"/>
  <c r="BB30" i="99"/>
  <c r="BA30" i="99"/>
  <c r="P43" i="99"/>
  <c r="P39" i="99"/>
  <c r="Q27" i="99"/>
  <c r="O14" i="102"/>
  <c r="O13" i="102"/>
  <c r="P95" i="102"/>
  <c r="AZ89" i="102"/>
  <c r="U86" i="102"/>
  <c r="AZ83" i="102"/>
  <c r="AZ80" i="102"/>
  <c r="AY76" i="102"/>
  <c r="AX76" i="102"/>
  <c r="AZ72" i="102"/>
  <c r="AZ70" i="102"/>
  <c r="U67" i="102"/>
  <c r="AX66" i="102"/>
  <c r="AY66" i="102"/>
  <c r="AZ62" i="102"/>
  <c r="AZ61" i="102"/>
  <c r="AY59" i="102"/>
  <c r="AX59" i="102"/>
  <c r="AZ59" i="102"/>
  <c r="AY56" i="102"/>
  <c r="AZ56" i="102"/>
  <c r="AZ53" i="102"/>
  <c r="AZ52" i="102"/>
  <c r="V46" i="102"/>
  <c r="AY46" i="102"/>
  <c r="U46" i="102"/>
  <c r="AX46" i="102"/>
  <c r="AX44" i="102"/>
  <c r="AZ44" i="102"/>
  <c r="AZ43" i="102"/>
  <c r="V41" i="102"/>
  <c r="T40" i="102"/>
  <c r="U40" i="102"/>
  <c r="U39" i="102"/>
  <c r="V39" i="102"/>
  <c r="V38" i="102"/>
  <c r="V37" i="102"/>
  <c r="V32" i="102"/>
  <c r="U32" i="102"/>
  <c r="U30" i="102"/>
  <c r="AX30" i="102"/>
  <c r="V30" i="102"/>
  <c r="AZ29" i="102"/>
  <c r="AZ28" i="102"/>
  <c r="AZ27" i="102"/>
  <c r="AZ26" i="102"/>
  <c r="V24" i="102"/>
  <c r="AY23" i="102"/>
  <c r="AZ23" i="102"/>
  <c r="AY19" i="102"/>
  <c r="AZ19" i="102"/>
  <c r="V19" i="102"/>
  <c r="U19" i="102"/>
  <c r="AY13" i="102"/>
  <c r="AZ13" i="102"/>
  <c r="Y13" i="102"/>
  <c r="U95" i="102"/>
  <c r="AZ66" i="102"/>
  <c r="AZ76" i="102"/>
  <c r="AY30" i="102"/>
  <c r="AZ46" i="102"/>
  <c r="T95" i="102"/>
  <c r="V40" i="102"/>
  <c r="V95" i="102"/>
  <c r="AY37" i="102"/>
  <c r="AX37" i="102"/>
  <c r="AX95" i="102"/>
  <c r="AZ30" i="102"/>
  <c r="AY95" i="102"/>
  <c r="AZ37" i="102"/>
  <c r="AZ95" i="102"/>
  <c r="AQ48" i="93"/>
  <c r="BA15" i="99"/>
  <c r="BA16" i="99"/>
  <c r="BB16" i="99"/>
  <c r="BA17" i="99"/>
  <c r="BB17" i="99"/>
  <c r="BA18" i="99"/>
  <c r="BB18" i="99"/>
  <c r="BA19" i="99"/>
  <c r="BB19" i="99"/>
  <c r="BA20" i="99"/>
  <c r="BB20" i="99"/>
  <c r="BA21" i="99"/>
  <c r="BB21" i="99"/>
  <c r="BA25" i="99"/>
  <c r="BB26" i="99"/>
  <c r="BA36" i="99"/>
  <c r="BB36" i="99"/>
  <c r="BC36" i="99"/>
  <c r="BA37" i="99"/>
  <c r="BB37" i="99"/>
  <c r="BC37" i="99"/>
  <c r="U44" i="99"/>
  <c r="P44" i="99"/>
  <c r="Q12" i="99"/>
  <c r="O16" i="99"/>
  <c r="Q17" i="99"/>
  <c r="Q21" i="99"/>
  <c r="Q23" i="99"/>
  <c r="Q29" i="99"/>
  <c r="O30" i="99"/>
  <c r="Q34" i="99"/>
  <c r="O35" i="99"/>
  <c r="Q37" i="99"/>
  <c r="Q39" i="99"/>
  <c r="Q43" i="99"/>
  <c r="BC39" i="99"/>
  <c r="BC35" i="99"/>
  <c r="BC34" i="99"/>
  <c r="O31" i="99"/>
  <c r="O29" i="99"/>
  <c r="BC23" i="99"/>
  <c r="AZ91" i="86"/>
  <c r="AZ83" i="86"/>
  <c r="AZ67" i="86"/>
  <c r="AZ62" i="86"/>
  <c r="S137" i="97"/>
  <c r="Y59" i="97"/>
  <c r="Y69" i="97"/>
  <c r="Y70" i="97"/>
  <c r="X59" i="97"/>
  <c r="X137" i="97"/>
  <c r="W70" i="97"/>
  <c r="W137" i="97"/>
  <c r="BB17" i="97"/>
  <c r="BB22" i="97"/>
  <c r="BA22" i="97"/>
  <c r="BC22" i="97"/>
  <c r="BB25" i="97"/>
  <c r="BB30" i="97"/>
  <c r="BB33" i="97"/>
  <c r="BB35" i="97"/>
  <c r="BB36" i="97"/>
  <c r="BB40" i="97"/>
  <c r="BB43" i="97"/>
  <c r="BB47" i="97"/>
  <c r="BB54" i="97"/>
  <c r="BB55" i="97"/>
  <c r="BB58" i="97"/>
  <c r="BB61" i="97"/>
  <c r="BA61" i="97"/>
  <c r="BC61" i="97"/>
  <c r="BB72" i="97"/>
  <c r="BB74" i="97"/>
  <c r="BB77" i="97"/>
  <c r="BB82" i="97"/>
  <c r="BB97" i="97"/>
  <c r="BB104" i="97"/>
  <c r="BB108" i="97"/>
  <c r="BC108" i="97"/>
  <c r="BB110" i="97"/>
  <c r="BB116" i="97"/>
  <c r="BB124" i="97"/>
  <c r="BA124" i="97"/>
  <c r="BC124" i="97"/>
  <c r="BB129" i="97"/>
  <c r="BA17" i="97"/>
  <c r="BA25" i="97"/>
  <c r="BC25" i="97"/>
  <c r="BA30" i="97"/>
  <c r="BA35" i="97"/>
  <c r="BA36" i="97"/>
  <c r="BC36" i="97"/>
  <c r="BA40" i="97"/>
  <c r="BC40" i="97"/>
  <c r="BA43" i="97"/>
  <c r="BA47" i="97"/>
  <c r="BA55" i="97"/>
  <c r="BA58" i="97"/>
  <c r="BC58" i="97"/>
  <c r="BA68" i="97"/>
  <c r="BA72" i="97"/>
  <c r="BA74" i="97"/>
  <c r="BC74" i="97"/>
  <c r="BA77" i="97"/>
  <c r="BA82" i="97"/>
  <c r="BA97" i="97"/>
  <c r="BC97" i="97"/>
  <c r="BA104" i="97"/>
  <c r="BA108" i="97"/>
  <c r="BA110" i="97"/>
  <c r="BC110" i="97"/>
  <c r="BA116" i="97"/>
  <c r="BA129" i="97"/>
  <c r="AY129" i="97"/>
  <c r="AW129" i="97"/>
  <c r="AU129" i="97"/>
  <c r="AS129" i="97"/>
  <c r="AQ129" i="97"/>
  <c r="AO129" i="97"/>
  <c r="AM129" i="97"/>
  <c r="AK129" i="97"/>
  <c r="AI129" i="97"/>
  <c r="AG129" i="97"/>
  <c r="AE129" i="97"/>
  <c r="AC129" i="97"/>
  <c r="AY116" i="97"/>
  <c r="AW116" i="97"/>
  <c r="AU116" i="97"/>
  <c r="AS116" i="97"/>
  <c r="AQ116" i="97"/>
  <c r="AO116" i="97"/>
  <c r="AM116" i="97"/>
  <c r="AK116" i="97"/>
  <c r="AI116" i="97"/>
  <c r="AG116" i="97"/>
  <c r="AE116" i="97"/>
  <c r="AC116" i="97"/>
  <c r="R115" i="97"/>
  <c r="R113" i="97"/>
  <c r="AY110" i="97"/>
  <c r="AW110" i="97"/>
  <c r="AU110" i="97"/>
  <c r="AS110" i="97"/>
  <c r="AQ110" i="97"/>
  <c r="AO110" i="97"/>
  <c r="AM110" i="97"/>
  <c r="AK110" i="97"/>
  <c r="AI110" i="97"/>
  <c r="AG110" i="97"/>
  <c r="AE110" i="97"/>
  <c r="AC110" i="97"/>
  <c r="AY104" i="97"/>
  <c r="AW104" i="97"/>
  <c r="AU104" i="97"/>
  <c r="AS104" i="97"/>
  <c r="AQ104" i="97"/>
  <c r="AO104" i="97"/>
  <c r="AM104" i="97"/>
  <c r="AK104" i="97"/>
  <c r="AI104" i="97"/>
  <c r="AG104" i="97"/>
  <c r="AE104" i="97"/>
  <c r="AC104" i="97"/>
  <c r="R101" i="97"/>
  <c r="R99" i="97"/>
  <c r="AY97" i="97"/>
  <c r="AW97" i="97"/>
  <c r="AU97" i="97"/>
  <c r="AS97" i="97"/>
  <c r="AQ97" i="97"/>
  <c r="AO97" i="97"/>
  <c r="AM97" i="97"/>
  <c r="AK97" i="97"/>
  <c r="AI97" i="97"/>
  <c r="AG97" i="97"/>
  <c r="AE97" i="97"/>
  <c r="AC97" i="97"/>
  <c r="R97" i="97"/>
  <c r="R85" i="97"/>
  <c r="BC82" i="97"/>
  <c r="AY82" i="97"/>
  <c r="AW82" i="97"/>
  <c r="AU82" i="97"/>
  <c r="AS82" i="97"/>
  <c r="AQ82" i="97"/>
  <c r="AO82" i="97"/>
  <c r="AM82" i="97"/>
  <c r="AK82" i="97"/>
  <c r="AI82" i="97"/>
  <c r="AG82" i="97"/>
  <c r="AE82" i="97"/>
  <c r="AC82" i="97"/>
  <c r="R82" i="97"/>
  <c r="AY77" i="97"/>
  <c r="AW77" i="97"/>
  <c r="AU77" i="97"/>
  <c r="AS77" i="97"/>
  <c r="AQ77" i="97"/>
  <c r="AO77" i="97"/>
  <c r="AM77" i="97"/>
  <c r="AK77" i="97"/>
  <c r="AI77" i="97"/>
  <c r="AG77" i="97"/>
  <c r="AE77" i="97"/>
  <c r="AC77" i="97"/>
  <c r="AY74" i="97"/>
  <c r="AW74" i="97"/>
  <c r="AU74" i="97"/>
  <c r="AS74" i="97"/>
  <c r="AQ74" i="97"/>
  <c r="AO74" i="97"/>
  <c r="AM74" i="97"/>
  <c r="AK74" i="97"/>
  <c r="AI74" i="97"/>
  <c r="AG74" i="97"/>
  <c r="AE74" i="97"/>
  <c r="AC74" i="97"/>
  <c r="BC72" i="97"/>
  <c r="R71" i="97"/>
  <c r="R70" i="97"/>
  <c r="R69" i="97"/>
  <c r="AY68" i="97"/>
  <c r="AW68" i="97"/>
  <c r="AU68" i="97"/>
  <c r="AS68" i="97"/>
  <c r="AQ68" i="97"/>
  <c r="AO68" i="97"/>
  <c r="AM68" i="97"/>
  <c r="AK68" i="97"/>
  <c r="AI68" i="97"/>
  <c r="AG68" i="97"/>
  <c r="AE68" i="97"/>
  <c r="AC68" i="97"/>
  <c r="R68" i="97"/>
  <c r="AY61" i="97"/>
  <c r="AW61" i="97"/>
  <c r="AU61" i="97"/>
  <c r="AS61" i="97"/>
  <c r="AQ61" i="97"/>
  <c r="AO61" i="97"/>
  <c r="AM61" i="97"/>
  <c r="AK61" i="97"/>
  <c r="AI61" i="97"/>
  <c r="AG61" i="97"/>
  <c r="AE61" i="97"/>
  <c r="AC61" i="97"/>
  <c r="AY58" i="97"/>
  <c r="AW58" i="97"/>
  <c r="AU58" i="97"/>
  <c r="AS58" i="97"/>
  <c r="AQ58" i="97"/>
  <c r="AO58" i="97"/>
  <c r="AM58" i="97"/>
  <c r="AK58" i="97"/>
  <c r="AI58" i="97"/>
  <c r="AG58" i="97"/>
  <c r="AE58" i="97"/>
  <c r="AC58" i="97"/>
  <c r="R58" i="97"/>
  <c r="R56" i="97"/>
  <c r="AY55" i="97"/>
  <c r="AW55" i="97"/>
  <c r="AU55" i="97"/>
  <c r="AS55" i="97"/>
  <c r="AQ55" i="97"/>
  <c r="AO55" i="97"/>
  <c r="AM55" i="97"/>
  <c r="AK55" i="97"/>
  <c r="AI55" i="97"/>
  <c r="AG55" i="97"/>
  <c r="AE55" i="97"/>
  <c r="AC55" i="97"/>
  <c r="R55" i="97"/>
  <c r="BC54" i="97"/>
  <c r="BC49" i="97"/>
  <c r="BC48" i="97"/>
  <c r="AY47" i="97"/>
  <c r="AW47" i="97"/>
  <c r="AU47" i="97"/>
  <c r="AS47" i="97"/>
  <c r="AQ47" i="97"/>
  <c r="AO47" i="97"/>
  <c r="AM47" i="97"/>
  <c r="AK47" i="97"/>
  <c r="AI47" i="97"/>
  <c r="AG47" i="97"/>
  <c r="AE47" i="97"/>
  <c r="AC47" i="97"/>
  <c r="BC46" i="97"/>
  <c r="BC45" i="97"/>
  <c r="R45" i="97"/>
  <c r="BC44" i="97"/>
  <c r="BC43" i="97"/>
  <c r="AM43" i="97"/>
  <c r="AK43" i="97"/>
  <c r="AI43" i="97"/>
  <c r="AG43" i="97"/>
  <c r="AE43" i="97"/>
  <c r="AC43" i="97"/>
  <c r="R43" i="97"/>
  <c r="BC42" i="97"/>
  <c r="AM42" i="97"/>
  <c r="AK42" i="97"/>
  <c r="AI42" i="97"/>
  <c r="AG42" i="97"/>
  <c r="AE42" i="97"/>
  <c r="AC42" i="97"/>
  <c r="BC41" i="97"/>
  <c r="AY40" i="97"/>
  <c r="AW40" i="97"/>
  <c r="AU40" i="97"/>
  <c r="AS40" i="97"/>
  <c r="AQ40" i="97"/>
  <c r="AO40" i="97"/>
  <c r="AM40" i="97"/>
  <c r="AK40" i="97"/>
  <c r="AI40" i="97"/>
  <c r="AG40" i="97"/>
  <c r="AE40" i="97"/>
  <c r="AC40" i="97"/>
  <c r="BC38" i="97"/>
  <c r="R38" i="97"/>
  <c r="BC37" i="97"/>
  <c r="R37" i="97"/>
  <c r="AY36" i="97"/>
  <c r="AW36" i="97"/>
  <c r="AU36" i="97"/>
  <c r="AS36" i="97"/>
  <c r="AQ36" i="97"/>
  <c r="AO36" i="97"/>
  <c r="AM36" i="97"/>
  <c r="AK36" i="97"/>
  <c r="AI36" i="97"/>
  <c r="AG36" i="97"/>
  <c r="AE36" i="97"/>
  <c r="AC36" i="97"/>
  <c r="R36" i="97"/>
  <c r="BC33" i="97"/>
  <c r="R32" i="97"/>
  <c r="R31" i="97"/>
  <c r="BC30" i="97"/>
  <c r="AY30" i="97"/>
  <c r="AW30" i="97"/>
  <c r="AU30" i="97"/>
  <c r="AS30" i="97"/>
  <c r="AQ30" i="97"/>
  <c r="AO30" i="97"/>
  <c r="AM30" i="97"/>
  <c r="AK30" i="97"/>
  <c r="AI30" i="97"/>
  <c r="AG30" i="97"/>
  <c r="AE30" i="97"/>
  <c r="AC30" i="97"/>
  <c r="R30" i="97"/>
  <c r="R28" i="97"/>
  <c r="R27" i="97"/>
  <c r="R26" i="97"/>
  <c r="AY25" i="97"/>
  <c r="AW25" i="97"/>
  <c r="AU25" i="97"/>
  <c r="AS25" i="97"/>
  <c r="AQ25" i="97"/>
  <c r="AO25" i="97"/>
  <c r="AM25" i="97"/>
  <c r="AK25" i="97"/>
  <c r="AI25" i="97"/>
  <c r="AG25" i="97"/>
  <c r="AE25" i="97"/>
  <c r="AC25" i="97"/>
  <c r="R25" i="97"/>
  <c r="R22" i="97"/>
  <c r="BC17" i="97"/>
  <c r="AC17" i="97"/>
  <c r="Y14" i="78"/>
  <c r="Y13" i="78"/>
  <c r="AY14" i="93"/>
  <c r="AW14" i="93"/>
  <c r="AQ14" i="93"/>
  <c r="AO14" i="93"/>
  <c r="AM14" i="93"/>
  <c r="AK14" i="93"/>
  <c r="AI14" i="93"/>
  <c r="AG14" i="93"/>
  <c r="AE14" i="93"/>
  <c r="AC14" i="93"/>
  <c r="AZ47" i="86"/>
  <c r="BC40" i="93"/>
  <c r="S135" i="93"/>
  <c r="W57" i="94"/>
  <c r="S57" i="94"/>
  <c r="BC56" i="94"/>
  <c r="Y52" i="94"/>
  <c r="BB52" i="94"/>
  <c r="X52" i="94"/>
  <c r="BA52" i="94"/>
  <c r="BC50" i="94"/>
  <c r="BB50" i="94"/>
  <c r="BB49" i="94"/>
  <c r="BC49" i="94"/>
  <c r="BB47" i="94"/>
  <c r="BC45" i="94"/>
  <c r="BB41" i="94"/>
  <c r="BA41" i="94"/>
  <c r="BC41" i="94"/>
  <c r="BC39" i="94"/>
  <c r="BB39" i="94"/>
  <c r="BC37" i="94"/>
  <c r="BC35" i="94"/>
  <c r="BB35" i="94"/>
  <c r="BC34" i="94"/>
  <c r="BB34" i="94"/>
  <c r="R32" i="94"/>
  <c r="BC29" i="94"/>
  <c r="R29" i="94"/>
  <c r="Y26" i="94"/>
  <c r="X26" i="94"/>
  <c r="BC24" i="94"/>
  <c r="Y24" i="94"/>
  <c r="X24" i="94"/>
  <c r="R24" i="94"/>
  <c r="BC21" i="94"/>
  <c r="BC19" i="94"/>
  <c r="BC18" i="94"/>
  <c r="R17" i="94"/>
  <c r="R16" i="94"/>
  <c r="R15" i="94"/>
  <c r="BC14" i="94"/>
  <c r="R14" i="94"/>
  <c r="BB63" i="87"/>
  <c r="BA63" i="87"/>
  <c r="R76" i="87"/>
  <c r="R75" i="87"/>
  <c r="R109" i="90"/>
  <c r="W107" i="90"/>
  <c r="R104" i="90"/>
  <c r="R15" i="90"/>
  <c r="R24" i="90"/>
  <c r="W23" i="90"/>
  <c r="R18" i="90"/>
  <c r="W17" i="90"/>
  <c r="R16" i="90"/>
  <c r="R13" i="90"/>
  <c r="R101" i="90"/>
  <c r="R92" i="90"/>
  <c r="R89" i="90"/>
  <c r="R84" i="90"/>
  <c r="R83" i="90"/>
  <c r="R80" i="90"/>
  <c r="W74" i="90"/>
  <c r="W78" i="90"/>
  <c r="S67" i="90"/>
  <c r="R77" i="90"/>
  <c r="R65" i="90"/>
  <c r="R64" i="90"/>
  <c r="R62" i="90"/>
  <c r="R61" i="90"/>
  <c r="R58" i="90"/>
  <c r="R57" i="90"/>
  <c r="R53" i="90"/>
  <c r="R54" i="90"/>
  <c r="R55" i="90"/>
  <c r="R47" i="90"/>
  <c r="R45" i="90"/>
  <c r="R43" i="90"/>
  <c r="R42" i="90"/>
  <c r="R41" i="90"/>
  <c r="R40" i="90"/>
  <c r="R33" i="90"/>
  <c r="R30" i="90"/>
  <c r="R29" i="90"/>
  <c r="R27" i="90"/>
  <c r="Y23" i="90"/>
  <c r="BB135" i="93"/>
  <c r="BA135" i="93"/>
  <c r="AY132" i="93"/>
  <c r="AW132" i="93"/>
  <c r="AQ132" i="93"/>
  <c r="AO132" i="93"/>
  <c r="AM132" i="93"/>
  <c r="AK132" i="93"/>
  <c r="AI132" i="93"/>
  <c r="AG132" i="93"/>
  <c r="AE132" i="93"/>
  <c r="AC132" i="93"/>
  <c r="X125" i="93"/>
  <c r="W125" i="93"/>
  <c r="W135" i="93"/>
  <c r="AY120" i="93"/>
  <c r="AW120" i="93"/>
  <c r="AQ120" i="93"/>
  <c r="AO120" i="93"/>
  <c r="AM120" i="93"/>
  <c r="AK120" i="93"/>
  <c r="AI120" i="93"/>
  <c r="AG120" i="93"/>
  <c r="AE120" i="93"/>
  <c r="AC120" i="93"/>
  <c r="AY116" i="93"/>
  <c r="AW116" i="93"/>
  <c r="AQ116" i="93"/>
  <c r="AO116" i="93"/>
  <c r="AM116" i="93"/>
  <c r="AK116" i="93"/>
  <c r="AI116" i="93"/>
  <c r="AG116" i="93"/>
  <c r="AE116" i="93"/>
  <c r="AB116" i="93"/>
  <c r="AC116" i="93"/>
  <c r="Y105" i="93"/>
  <c r="X105" i="93"/>
  <c r="Y102" i="93"/>
  <c r="Y135" i="93"/>
  <c r="X102" i="93"/>
  <c r="BC95" i="93"/>
  <c r="BC93" i="93"/>
  <c r="AY93" i="93"/>
  <c r="AW93" i="93"/>
  <c r="AQ93" i="93"/>
  <c r="AO93" i="93"/>
  <c r="AM93" i="93"/>
  <c r="AK93" i="93"/>
  <c r="AI93" i="93"/>
  <c r="AG93" i="93"/>
  <c r="AE93" i="93"/>
  <c r="AC93" i="93"/>
  <c r="R92" i="93"/>
  <c r="BC91" i="93"/>
  <c r="AW91" i="93"/>
  <c r="AQ91" i="93"/>
  <c r="AM91" i="93"/>
  <c r="AK91" i="93"/>
  <c r="AI91" i="93"/>
  <c r="AG91" i="93"/>
  <c r="AE91" i="93"/>
  <c r="AC91" i="93"/>
  <c r="R91" i="93"/>
  <c r="AW90" i="93"/>
  <c r="AQ90" i="93"/>
  <c r="AO90" i="93"/>
  <c r="AM90" i="93"/>
  <c r="AK90" i="93"/>
  <c r="AI90" i="93"/>
  <c r="AG90" i="93"/>
  <c r="AE90" i="93"/>
  <c r="AC90" i="93"/>
  <c r="R82" i="93"/>
  <c r="R78" i="93"/>
  <c r="X72" i="93"/>
  <c r="R72" i="93"/>
  <c r="BC68" i="93"/>
  <c r="AP68" i="93"/>
  <c r="AQ68" i="93"/>
  <c r="AN68" i="93"/>
  <c r="AO68" i="93"/>
  <c r="AL68" i="93"/>
  <c r="AM68" i="93"/>
  <c r="AJ68" i="93"/>
  <c r="AK68" i="93"/>
  <c r="AH68" i="93"/>
  <c r="AI68" i="93"/>
  <c r="AF68" i="93"/>
  <c r="AG68" i="93"/>
  <c r="AD68" i="93"/>
  <c r="AE68" i="93"/>
  <c r="AB68" i="93"/>
  <c r="AC68" i="93"/>
  <c r="BC62" i="93"/>
  <c r="AP62" i="93"/>
  <c r="AQ62" i="93"/>
  <c r="AN62" i="93"/>
  <c r="AO62" i="93"/>
  <c r="AL62" i="93"/>
  <c r="AM62" i="93"/>
  <c r="AJ62" i="93"/>
  <c r="AK62" i="93"/>
  <c r="AH62" i="93"/>
  <c r="AI62" i="93"/>
  <c r="AF62" i="93"/>
  <c r="AG62" i="93"/>
  <c r="AD62" i="93"/>
  <c r="AE62" i="93"/>
  <c r="AB62" i="93"/>
  <c r="AC62" i="93"/>
  <c r="BC54" i="93"/>
  <c r="R54" i="93"/>
  <c r="R52" i="93"/>
  <c r="X135" i="93"/>
  <c r="R49" i="93"/>
  <c r="AY48" i="93"/>
  <c r="AW48" i="93"/>
  <c r="AO48" i="93"/>
  <c r="AM48" i="93"/>
  <c r="AK48" i="93"/>
  <c r="AI48" i="93"/>
  <c r="AG48" i="93"/>
  <c r="AE48" i="93"/>
  <c r="AC48" i="93"/>
  <c r="R48" i="93"/>
  <c r="R40" i="93"/>
  <c r="R32" i="93"/>
  <c r="R24" i="93"/>
  <c r="BB111" i="90"/>
  <c r="BA111" i="90"/>
  <c r="BC111" i="90"/>
  <c r="BB101" i="90"/>
  <c r="BA101" i="90"/>
  <c r="BC101" i="90"/>
  <c r="BB96" i="90"/>
  <c r="BA96" i="90"/>
  <c r="BC96" i="90"/>
  <c r="BA89" i="90"/>
  <c r="BC89" i="90"/>
  <c r="BA80" i="90"/>
  <c r="BC80" i="90"/>
  <c r="R75" i="90"/>
  <c r="BB67" i="90"/>
  <c r="BA67" i="90"/>
  <c r="BB64" i="90"/>
  <c r="BA64" i="90"/>
  <c r="BB61" i="90"/>
  <c r="BA61" i="90"/>
  <c r="BC61" i="90"/>
  <c r="BB57" i="90"/>
  <c r="BA57" i="90"/>
  <c r="BC57" i="90"/>
  <c r="BB53" i="90"/>
  <c r="BA53" i="90"/>
  <c r="BC53" i="90"/>
  <c r="BB45" i="90"/>
  <c r="BA45" i="90"/>
  <c r="BC45" i="90"/>
  <c r="AU45" i="90"/>
  <c r="Y38" i="90"/>
  <c r="BB33" i="90"/>
  <c r="BA33" i="90"/>
  <c r="BC33" i="90"/>
  <c r="AU33" i="90"/>
  <c r="AT33" i="90"/>
  <c r="R28" i="90"/>
  <c r="BB27" i="90"/>
  <c r="BA27" i="90"/>
  <c r="BC27" i="90"/>
  <c r="X23" i="90"/>
  <c r="Y22" i="90"/>
  <c r="X22" i="90"/>
  <c r="Y21" i="90"/>
  <c r="Y18" i="90"/>
  <c r="BB13" i="90"/>
  <c r="X21" i="90"/>
  <c r="X18" i="90"/>
  <c r="BA13" i="90"/>
  <c r="Y120" i="90"/>
  <c r="X120" i="90"/>
  <c r="S120" i="90"/>
  <c r="BC13" i="90"/>
  <c r="W120" i="90"/>
  <c r="AZ32" i="83"/>
  <c r="AZ31" i="83"/>
  <c r="AZ30" i="83"/>
  <c r="BB19" i="89"/>
  <c r="BA19" i="89"/>
  <c r="Y19" i="89"/>
  <c r="X19" i="89"/>
  <c r="W19" i="89"/>
  <c r="S19" i="89"/>
  <c r="R16" i="89"/>
  <c r="R14" i="89"/>
  <c r="BB18" i="87"/>
  <c r="BB33" i="87"/>
  <c r="BB37" i="87"/>
  <c r="BA18" i="87"/>
  <c r="BC18" i="87"/>
  <c r="BA33" i="87"/>
  <c r="BA37" i="87"/>
  <c r="Y19" i="87"/>
  <c r="Y33" i="87"/>
  <c r="Y37" i="87"/>
  <c r="X19" i="87"/>
  <c r="X33" i="87"/>
  <c r="X37" i="87"/>
  <c r="W33" i="87"/>
  <c r="W37" i="87"/>
  <c r="W71" i="87"/>
  <c r="W72" i="87"/>
  <c r="S30" i="87"/>
  <c r="S77" i="87"/>
  <c r="BC75" i="87"/>
  <c r="R73" i="87"/>
  <c r="R72" i="87"/>
  <c r="R71" i="87"/>
  <c r="BC69" i="87"/>
  <c r="R69" i="87"/>
  <c r="BC63" i="87"/>
  <c r="R63" i="87"/>
  <c r="R61" i="87"/>
  <c r="R60" i="87"/>
  <c r="BC59" i="87"/>
  <c r="R59" i="87"/>
  <c r="BC57" i="87"/>
  <c r="R57" i="87"/>
  <c r="BC37" i="87"/>
  <c r="R37" i="87"/>
  <c r="BC33" i="87"/>
  <c r="R33" i="87"/>
  <c r="R31" i="87"/>
  <c r="R30" i="87"/>
  <c r="R28" i="87"/>
  <c r="R20" i="87"/>
  <c r="R19" i="87"/>
  <c r="R18" i="87"/>
  <c r="AY14" i="86"/>
  <c r="AY20" i="86"/>
  <c r="AY73" i="86"/>
  <c r="AX73" i="86"/>
  <c r="AZ73" i="86"/>
  <c r="AX14" i="86"/>
  <c r="AZ14" i="86"/>
  <c r="AX20" i="86"/>
  <c r="V54" i="86"/>
  <c r="V96" i="86"/>
  <c r="U54" i="86"/>
  <c r="U96" i="86"/>
  <c r="P23" i="86"/>
  <c r="P91" i="86"/>
  <c r="P96" i="86"/>
  <c r="T96" i="86"/>
  <c r="AZ89" i="86"/>
  <c r="AZ88" i="86"/>
  <c r="AZ86" i="86"/>
  <c r="G86" i="86"/>
  <c r="AZ80" i="86"/>
  <c r="AZ38" i="86"/>
  <c r="AZ31" i="86"/>
  <c r="AZ30" i="86"/>
  <c r="AZ23" i="86"/>
  <c r="Y14" i="83"/>
  <c r="Y21" i="83"/>
  <c r="Y34" i="83"/>
  <c r="X34" i="83"/>
  <c r="BB16" i="78"/>
  <c r="BA13" i="78"/>
  <c r="BB13" i="78"/>
  <c r="BB80" i="85"/>
  <c r="BA28" i="85"/>
  <c r="BA69" i="85"/>
  <c r="BA80" i="85"/>
  <c r="AZ80" i="85"/>
  <c r="Y13" i="85"/>
  <c r="Y14" i="85"/>
  <c r="Y15" i="85"/>
  <c r="Y17" i="85"/>
  <c r="AY12" i="85"/>
  <c r="Y18" i="85"/>
  <c r="Y19" i="85"/>
  <c r="Y37" i="85"/>
  <c r="Y38" i="85"/>
  <c r="Y39" i="85"/>
  <c r="X41" i="85"/>
  <c r="Y41" i="85"/>
  <c r="X44" i="85"/>
  <c r="Y44" i="85"/>
  <c r="Y45" i="85"/>
  <c r="Y47" i="85"/>
  <c r="Y48" i="85"/>
  <c r="Y50" i="85"/>
  <c r="Y52" i="85"/>
  <c r="Y53" i="85"/>
  <c r="Y54" i="85"/>
  <c r="Y58" i="85"/>
  <c r="X59" i="85"/>
  <c r="Y59" i="85"/>
  <c r="Y61" i="85"/>
  <c r="X62" i="85"/>
  <c r="Y62" i="85"/>
  <c r="X63" i="85"/>
  <c r="Y63" i="85"/>
  <c r="X64" i="85"/>
  <c r="Y64" i="85"/>
  <c r="Y65" i="85"/>
  <c r="Y66" i="85"/>
  <c r="Y67" i="85"/>
  <c r="X68" i="85"/>
  <c r="Y68" i="85"/>
  <c r="Y69" i="85"/>
  <c r="Y70" i="85"/>
  <c r="Y71" i="85"/>
  <c r="Y72" i="85"/>
  <c r="Y73" i="85"/>
  <c r="Y74" i="85"/>
  <c r="Y75" i="85"/>
  <c r="Y77" i="85"/>
  <c r="Y80" i="85"/>
  <c r="X60" i="85"/>
  <c r="W80" i="85"/>
  <c r="S80" i="85"/>
  <c r="BC69" i="85"/>
  <c r="AM69" i="85"/>
  <c r="AK69" i="85"/>
  <c r="AI69" i="85"/>
  <c r="BC67" i="85"/>
  <c r="AM67" i="85"/>
  <c r="AK67" i="85"/>
  <c r="AI67" i="85"/>
  <c r="BC61" i="85"/>
  <c r="AY61" i="85"/>
  <c r="AW61" i="85"/>
  <c r="AU61" i="85"/>
  <c r="AS61" i="85"/>
  <c r="AQ61" i="85"/>
  <c r="AO61" i="85"/>
  <c r="AM61" i="85"/>
  <c r="AK61" i="85"/>
  <c r="AI61" i="85"/>
  <c r="AG61" i="85"/>
  <c r="AE61" i="85"/>
  <c r="AC61" i="85"/>
  <c r="BV58" i="85"/>
  <c r="BT58" i="85"/>
  <c r="BR58" i="85"/>
  <c r="BP58" i="85"/>
  <c r="BN58" i="85"/>
  <c r="BC58" i="85"/>
  <c r="AY58" i="85"/>
  <c r="AW58" i="85"/>
  <c r="AU58" i="85"/>
  <c r="AS58" i="85"/>
  <c r="AQ58" i="85"/>
  <c r="AO58" i="85"/>
  <c r="AM58" i="85"/>
  <c r="AK58" i="85"/>
  <c r="AI58" i="85"/>
  <c r="AG58" i="85"/>
  <c r="AE58" i="85"/>
  <c r="R52" i="85"/>
  <c r="R49" i="85"/>
  <c r="R47" i="85"/>
  <c r="BC44" i="85"/>
  <c r="AY44" i="85"/>
  <c r="AW44" i="85"/>
  <c r="AU44" i="85"/>
  <c r="AS44" i="85"/>
  <c r="AQ44" i="85"/>
  <c r="AO44" i="85"/>
  <c r="AM44" i="85"/>
  <c r="AK44" i="85"/>
  <c r="AI44" i="85"/>
  <c r="AG44" i="85"/>
  <c r="AE44" i="85"/>
  <c r="AC44" i="85"/>
  <c r="R44" i="85"/>
  <c r="BC34" i="85"/>
  <c r="AY34" i="85"/>
  <c r="AW34" i="85"/>
  <c r="AU34" i="85"/>
  <c r="AS34" i="85"/>
  <c r="AQ34" i="85"/>
  <c r="AO34" i="85"/>
  <c r="AM34" i="85"/>
  <c r="AK34" i="85"/>
  <c r="AI34" i="85"/>
  <c r="AG34" i="85"/>
  <c r="AC34" i="85"/>
  <c r="AE34" i="85"/>
  <c r="BC28" i="85"/>
  <c r="BC23" i="85"/>
  <c r="BC12" i="85"/>
  <c r="AS12" i="85"/>
  <c r="AK12" i="85"/>
  <c r="AC12" i="85"/>
  <c r="BB14" i="83"/>
  <c r="BB19" i="83"/>
  <c r="BB20" i="83"/>
  <c r="BB34" i="83"/>
  <c r="BA14" i="83"/>
  <c r="BA19" i="83"/>
  <c r="BA20" i="83"/>
  <c r="BA34" i="83"/>
  <c r="S20" i="83"/>
  <c r="W20" i="83"/>
  <c r="W21" i="83"/>
  <c r="W34" i="83"/>
  <c r="BC21" i="83"/>
  <c r="S34" i="83"/>
  <c r="BC32" i="83"/>
  <c r="BC29" i="83"/>
  <c r="BC28" i="83"/>
  <c r="BC27" i="83"/>
  <c r="R22" i="83"/>
  <c r="R21" i="83"/>
  <c r="BC20" i="83"/>
  <c r="R20" i="83"/>
  <c r="BC19" i="83"/>
  <c r="AY19" i="83"/>
  <c r="AW19" i="83"/>
  <c r="AU19" i="83"/>
  <c r="AQ19" i="83"/>
  <c r="AO19" i="83"/>
  <c r="AM19" i="83"/>
  <c r="AK19" i="83"/>
  <c r="AI19" i="83"/>
  <c r="AG19" i="83"/>
  <c r="AE19" i="83"/>
  <c r="AC19" i="83"/>
  <c r="R19" i="83"/>
  <c r="BC18" i="83"/>
  <c r="R18" i="83"/>
  <c r="BC16" i="83"/>
  <c r="BC15" i="83"/>
  <c r="BC14" i="83"/>
  <c r="AY14" i="83"/>
  <c r="AW14" i="83"/>
  <c r="AU14" i="83"/>
  <c r="AQ14" i="83"/>
  <c r="AO14" i="83"/>
  <c r="AM14" i="83"/>
  <c r="AK14" i="83"/>
  <c r="AI14" i="83"/>
  <c r="AG14" i="83"/>
  <c r="AE14" i="83"/>
  <c r="AC14" i="83"/>
  <c r="BC13" i="83"/>
  <c r="AY13" i="83"/>
  <c r="AW13" i="83"/>
  <c r="AU13" i="83"/>
  <c r="AQ13" i="83"/>
  <c r="AO13" i="83"/>
  <c r="AM13" i="83"/>
  <c r="AK13" i="83"/>
  <c r="AI13" i="83"/>
  <c r="AG13" i="83"/>
  <c r="AE13" i="83"/>
  <c r="AC13" i="83"/>
  <c r="S19" i="78"/>
  <c r="BB19" i="78"/>
  <c r="BA19" i="78"/>
  <c r="BB14" i="54"/>
  <c r="Y18" i="54"/>
  <c r="BB18" i="54"/>
  <c r="BB22" i="54"/>
  <c r="BA15" i="54"/>
  <c r="BA14" i="54"/>
  <c r="AC18" i="54"/>
  <c r="BB43" i="77"/>
  <c r="X27" i="77"/>
  <c r="X43" i="77"/>
  <c r="BC34" i="77"/>
  <c r="BC30" i="77"/>
  <c r="BC22" i="77"/>
  <c r="BA19" i="77"/>
  <c r="BC19" i="77"/>
  <c r="BC26" i="77"/>
  <c r="AC26" i="77"/>
  <c r="Y16" i="79"/>
  <c r="Y20" i="79"/>
  <c r="Y22" i="79"/>
  <c r="X16" i="79"/>
  <c r="X20" i="79"/>
  <c r="X22" i="79"/>
  <c r="W22" i="79"/>
  <c r="S22" i="79"/>
  <c r="BC13" i="79"/>
  <c r="AY13" i="79"/>
  <c r="AW13" i="79"/>
  <c r="AQ13" i="79"/>
  <c r="AO13" i="79"/>
  <c r="AM13" i="79"/>
  <c r="AK13" i="79"/>
  <c r="AI13" i="79"/>
  <c r="AG13" i="79"/>
  <c r="AE13" i="79"/>
  <c r="AC13" i="79"/>
  <c r="Y19" i="78"/>
  <c r="X19" i="78"/>
  <c r="W19" i="78"/>
  <c r="R17" i="78"/>
  <c r="BC16" i="78"/>
  <c r="R16" i="78"/>
  <c r="R15" i="78"/>
  <c r="R14" i="78"/>
  <c r="BC13" i="78"/>
  <c r="R13" i="78"/>
  <c r="BA43" i="77"/>
  <c r="Y43" i="77"/>
  <c r="W43" i="77"/>
  <c r="S43" i="77"/>
  <c r="AM30" i="77"/>
  <c r="AK30" i="77"/>
  <c r="AI30" i="77"/>
  <c r="AG30" i="77"/>
  <c r="AE30" i="77"/>
  <c r="AC30" i="77"/>
  <c r="AM26" i="77"/>
  <c r="AK26" i="77"/>
  <c r="AI26" i="77"/>
  <c r="AG26" i="77"/>
  <c r="AE26" i="77"/>
  <c r="AQ18" i="54"/>
  <c r="AO18" i="54"/>
  <c r="AM18" i="54"/>
  <c r="AK18" i="54"/>
  <c r="AI18" i="54"/>
  <c r="AG18" i="54"/>
  <c r="AE18" i="54"/>
  <c r="X18" i="54"/>
  <c r="BA18" i="54"/>
  <c r="BC18" i="54"/>
  <c r="BA22" i="54"/>
  <c r="Y22" i="54"/>
  <c r="X22" i="54"/>
  <c r="W22" i="54"/>
  <c r="S22" i="54"/>
  <c r="O34" i="99"/>
  <c r="O36" i="99"/>
  <c r="AZ20" i="86"/>
  <c r="AE12" i="85"/>
  <c r="AM12" i="85"/>
  <c r="AU12" i="85"/>
  <c r="AG12" i="85"/>
  <c r="AW12" i="85"/>
  <c r="X80" i="85"/>
  <c r="AO12" i="85"/>
  <c r="AI12" i="85"/>
  <c r="AQ12" i="85"/>
  <c r="X57" i="94"/>
  <c r="Y57" i="94"/>
  <c r="BC52" i="94"/>
  <c r="BA57" i="94"/>
  <c r="BB57" i="94"/>
  <c r="Y77" i="87"/>
  <c r="X77" i="87"/>
  <c r="W77" i="87"/>
  <c r="BC104" i="97"/>
  <c r="BC55" i="97"/>
  <c r="BA137" i="97"/>
  <c r="BC116" i="97"/>
  <c r="BB68" i="97"/>
  <c r="BC68" i="97"/>
  <c r="BC47" i="97"/>
  <c r="BC35" i="97"/>
  <c r="BC129" i="97"/>
  <c r="BC77" i="97"/>
  <c r="BB137" i="97"/>
  <c r="Y137" i="97"/>
  <c r="AY96" i="86"/>
  <c r="BB120" i="90"/>
  <c r="R67" i="90"/>
  <c r="R78" i="90"/>
  <c r="BA120" i="90"/>
  <c r="R70" i="90"/>
  <c r="BB15" i="99"/>
  <c r="BB44" i="99"/>
  <c r="BA44" i="99"/>
  <c r="W44" i="99"/>
  <c r="BC21" i="99"/>
  <c r="O12" i="99"/>
  <c r="Q44" i="99"/>
  <c r="BC47" i="94"/>
  <c r="BC67" i="90"/>
  <c r="AX96" i="86"/>
</calcChain>
</file>

<file path=xl/sharedStrings.xml><?xml version="1.0" encoding="utf-8"?>
<sst xmlns="http://schemas.openxmlformats.org/spreadsheetml/2006/main" count="4742" uniqueCount="2157">
  <si>
    <t>SEGUIMIENTO PLAN DE ACCIÓN</t>
  </si>
  <si>
    <t xml:space="preserve">CODIGO:  </t>
  </si>
  <si>
    <t>F-PLA-07</t>
  </si>
  <si>
    <t xml:space="preserve">VERSIÓN: </t>
  </si>
  <si>
    <t xml:space="preserve">FECHA: </t>
  </si>
  <si>
    <t>Octubre 1 de 2016</t>
  </si>
  <si>
    <t>PÁGINA:</t>
  </si>
  <si>
    <t>01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</si>
  <si>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</si>
  <si>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</si>
  <si>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</si>
  <si>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</si>
  <si>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</si>
  <si>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</si>
  <si>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</si>
  <si>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</si>
  <si>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</si>
  <si>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</si>
  <si>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</si>
  <si>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</si>
  <si>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</si>
  <si>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</si>
  <si>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</si>
  <si>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</si>
  <si>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</si>
  <si>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</si>
  <si>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</si>
  <si>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</si>
  <si>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CONTRATOS</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</si>
  <si>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</si>
  <si>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</si>
  <si>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</si>
  <si>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</si>
  <si>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</si>
  <si>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</si>
  <si>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</si>
  <si>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</si>
  <si>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</si>
  <si>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</si>
  <si>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</si>
  <si>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</si>
  <si>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</si>
  <si>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</si>
  <si>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</si>
  <si>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</si>
  <si>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</si>
  <si>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</si>
  <si>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</si>
  <si>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</si>
  <si>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</si>
  <si>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</si>
  <si>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</si>
  <si>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</si>
  <si>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</si>
  <si>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</si>
  <si>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BUEN GOBIERNO</t>
  </si>
  <si>
    <t>Gestión Territorial</t>
  </si>
  <si>
    <t>Modernización tecnológica y administrativa</t>
  </si>
  <si>
    <t>Virtualizar ocho (8) trámites de la administración departamental a través de Gobierno en Línea</t>
  </si>
  <si>
    <t>Nro.</t>
  </si>
  <si>
    <t>0304 - 5 - 3 1 5 28 89 17 1 - 20</t>
  </si>
  <si>
    <t xml:space="preserve"> 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</si>
  <si>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</si>
  <si>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Apoyar a los funcionarios a través de procesos de capacitación  en el manejo de las herramientas tecnológicas para optimizar el desempeño 
</t>
  </si>
  <si>
    <t>Compra o adquisicion de hardware</t>
  </si>
  <si>
    <t xml:space="preserve">Recursos Ordinarios </t>
  </si>
  <si>
    <t>ORDINARIO</t>
  </si>
  <si>
    <t>BERNARDO ARANGO RESTREPO 
LEONARDO SANCHEZ ARIZA</t>
  </si>
  <si>
    <t>CATALINA GOMEZ RESTREPO- SECRETARIA ADMINISTRATIVA</t>
  </si>
  <si>
    <t>Soporte aplicaciones</t>
  </si>
  <si>
    <t>Sostenibilidad de la estrategia de gobierno en linea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</si>
  <si>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</si>
  <si>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</si>
  <si>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</si>
  <si>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Desarrollar y fortalecer continuamente el talento humano al servicio de la entidad</t>
  </si>
  <si>
    <t>Formular e implementar un programa de seguridad y salud en el trabajo</t>
  </si>
  <si>
    <t>Realizar 15 actividades de seguridad y salud en el trabajo</t>
  </si>
  <si>
    <t>MARIO ALBERTO LEAL MEJÍA</t>
  </si>
  <si>
    <t>Formular e implementar  un plan institucional de capacitación</t>
  </si>
  <si>
    <t>Realizar 1 proceso de inducción y 1 proceso de reinducción a los funcionarios públicos de la entidad</t>
  </si>
  <si>
    <t>Gestionar el desarrollo de 20 procesos de capacitación, priorizados en el PIC</t>
  </si>
  <si>
    <t>Formular e implementar el plan de bienestar social</t>
  </si>
  <si>
    <t>Gestionar el desarrollo de 15 actividades de bienestar social</t>
  </si>
  <si>
    <t>Fortalecer el programa de  infraestructura tecnológica de la  Administración Departamental (hadware, aplicativos, redes, y capacitación)</t>
  </si>
  <si>
    <t>0304 - 5 - 1 20 99 130 118 - 20</t>
  </si>
  <si>
    <t>Actualización de la infraestructura tecnológica de la Gobernación del Quindío.</t>
  </si>
  <si>
    <t xml:space="preserve"> Apoyar el programa de  infraestructura tecnológica de la  Administración Departamental ( hadware, aplicativos, redes, y capacitación)</t>
  </si>
  <si>
    <t xml:space="preserve">Modernizar las  herramientas tecnológicas a través la adquisición de equipos y sistemas de información que permitan optimizar los procesos
</t>
  </si>
  <si>
    <t xml:space="preserve">Apoyo Tecnico y/o profesional </t>
  </si>
  <si>
    <t>MARIO LEAL MEJIA
PATRICIA EUGENIA GOMEZ ESCOBAR</t>
  </si>
  <si>
    <t>0304 - 5 - 3 1 5 28 89 17 3 - 20</t>
  </si>
  <si>
    <t>Incrementar la  renovación de las herramientas tecnológicas a través de outsourcing para ampliar el numero de equipos de ultima tecnología logrando una mejor atención a los usuarios</t>
  </si>
  <si>
    <t>Servicios de comunicaciones</t>
  </si>
  <si>
    <t xml:space="preserve">Fortalecer el programa de sostenibilidad de las  Tecnologias de la Información de las Comunicaciones de la </t>
  </si>
  <si>
    <t>0304 - 5 - 1 20 99 130 119 - 20</t>
  </si>
  <si>
    <t>Apoyo a la sostenibilidad de las tecnologías de la información y comunicación de la Gobernación del Quindío.</t>
  </si>
  <si>
    <t xml:space="preserve"> 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</si>
  <si>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Adquirir  tecnologías con mayor tiempo de obsolecencia programada para que tengan una vida útil mas larga
</t>
  </si>
  <si>
    <t>72224</t>
  </si>
  <si>
    <t>CATALINA GOMEZ RESTREPO  SECRETARIA ADMINISTRATIVA</t>
  </si>
  <si>
    <t>0304 - 5 - 3 1 5 28 89 17 4 - 20</t>
  </si>
  <si>
    <t>Implementar un programa de modernización de la gestión documental en el departamento</t>
  </si>
  <si>
    <t>0304 - 5 - 3 1 5 28 89 17 5 - 20</t>
  </si>
  <si>
    <t>Implementación de un programa  de  modernización de la gestión administrativa en el Departamento del Quindio</t>
  </si>
  <si>
    <t>Mejorar los índices de eficacia y eficiencia en el proceso de gestión documental, a través de la implementación de las herramientas archivísticas(diagnóstico integral de archivo, planeación de la gestión documental, programa de gestión documental, sistema integrado de conservación, política de la gestión documental, procesos y procedimientos de la gestión documental calidad, revisión y actualización de las tablas de retención documental, revisión e implementación de las tablas de valoración documental) en el departamento del Quindío</t>
  </si>
  <si>
    <t>Elaborar diagnóstico y establecer correctivos en el acervo documental de la gobernación del Quindío</t>
  </si>
  <si>
    <t>Diagnóstico del archivo</t>
  </si>
  <si>
    <t>90390</t>
  </si>
  <si>
    <t>CATALINA GOMEZ RESTREPO</t>
  </si>
  <si>
    <t xml:space="preserve">CATALINA GOMEZ RESTREPO    SECRETARIA ADMINISTRATIVA </t>
  </si>
  <si>
    <t xml:space="preserve">Socialización, aplicación de la normatividad archivística que rige para la operatividad de los  archivos de los municipios y archivos de gestión ente central
</t>
  </si>
  <si>
    <t>Programa de gestion documental</t>
  </si>
  <si>
    <t>Planeacion de la gestion documental</t>
  </si>
  <si>
    <t>Sistema conservacion de archivo</t>
  </si>
  <si>
    <t>Procesos y procedimientos</t>
  </si>
  <si>
    <t>Politica de la gestion documental</t>
  </si>
  <si>
    <t>Revision y actualizacion tablas retencion documental</t>
  </si>
  <si>
    <t>Implementacion tablas de valoracion documental</t>
  </si>
  <si>
    <t>Soporte en la aplicabilidad normativa archivistica en 12 municipios al consejo departamental de archivos y la gestión documental de la Gobernación del Quindío</t>
  </si>
  <si>
    <t>TOTALES</t>
  </si>
  <si>
    <t>SECRETARIA ADMINISTRATIVA</t>
  </si>
  <si>
    <t xml:space="preserve">P </t>
  </si>
  <si>
    <t>Quindío Transparente y Legal</t>
  </si>
  <si>
    <t>Quindío Ejemplar y Legal</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</si>
  <si>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</si>
  <si>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</si>
  <si>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</si>
  <si>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 visibilidad, institucionalidad, control y sanción, con el fin de lograr una mayor eficiencia y eficacia admnistrativa ,  visibilizar los procesos  y disminuir los riegos de corrupción durante la vigencia 2016 . 
</t>
  </si>
  <si>
    <t xml:space="preserve"> Realizar  procesos de capacitación, asistencia técnica, seguimiento y evaluación del  Indice de Transparencia a las Secretarias Sectoriales Departamento del Quindio,  en los diferentes componentes: Visibilidad, Institucionalidad,  Control y Sanción, con el fin de lograr una mayor eficiencia y eficacia admnistrativa ,  visibilizar los procesos  y disminuir los riegos de corrupción durante la vigencia 2016 . </t>
  </si>
  <si>
    <t>Diagnóstico (3)  por  componentes y competencias secretarias sectoriales (Visibilidad, Institucionalidad,  Control y Sanción)</t>
  </si>
  <si>
    <t>Recurso Ordinario</t>
  </si>
  <si>
    <t>Recursos propios</t>
  </si>
  <si>
    <t>Martha Elena Giraldo Ramirez Directora Técnica Secretaría de Planeación</t>
  </si>
  <si>
    <t>ALVARO ARIAS YOUNG  SECRETARIO DE PLANEACION DEPARTAMENTAL</t>
  </si>
  <si>
    <t>Capacitación secretarias sectoriales (15)   indice de transparencia - socializacion diagnóstico</t>
  </si>
  <si>
    <t xml:space="preserve">Asistencias tecnicas especificas (grupales 65)   implementación de los componentes </t>
  </si>
  <si>
    <t>Seguimiento y evaluación implementación y operatividad componentes indice de transparencia ( Visibilidad, Institucionalidad,  Control y Sanción)</t>
  </si>
  <si>
    <t xml:space="preserve">Realizar  procesos de capacitación, asistencia técnica, seguimiento y evaluación del  Indice de Transparencia a los entes territoriales municipales del Departamento del Quindio,  en los diferentes componentes: Visibilidad, Institucionalidad,  Control y sanción, con el fin de lograr una mayor eficiencia y eficacia administrativa ,  visibilizar los procesos  y disminuir los riegos de corrupción durante la vigencia 2016 . </t>
  </si>
  <si>
    <t>Diagnóstico (3)  por  componentes y competencias Entes Territoriales ( Visibilidad, Institucionalidad,  Control y Sanción)</t>
  </si>
  <si>
    <t>Capacitación entes territoriales (3)   indice de transparencia - socializacion diagnóstico</t>
  </si>
  <si>
    <t xml:space="preserve">Asistencias tecnicas especificas (grupales 60)   implementación de los componentes </t>
  </si>
  <si>
    <t xml:space="preserve">Realizar capacitaciones  temas especificos  de los componentes del Indice de transparencia  ( Gestión documental y de contratación, Plan estratégico de Talento Humano), que representan mayor vulnerabilidad , dirigida a los funcionarios de la Administración y entes territoriales municipales, con el fin de lograr una mayor eficiencia y eficacia administrativa ,  visibilizar los procesos  y disminuir los riegos de corrupción durante la vigencia 2016 .   </t>
  </si>
  <si>
    <t>Capacitación: Talento Humano, Gestión Documental, Gestión de Contratación</t>
  </si>
  <si>
    <t xml:space="preserve">Refrigerios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</si>
  <si>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</si>
  <si>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</si>
  <si>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</si>
  <si>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</si>
  <si>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Pública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</si>
  <si>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de gestión Y del video ejecutorias Administración Departamental vigencia 2016, con el fin de divulgar a la comunidad de los resultados de la ejecutorias generando en la Administraciòn la cultura de la Rendiciòn Pùblica de Cuentas durante la vigencia 2016.
</t>
  </si>
  <si>
    <t xml:space="preserve"> Consolidar la información y estadisticas de las ejecutorias del Plan de Desarrollo de manera articulada a través de la elaboración del informe de gestión periodo 2016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2016.  </t>
  </si>
  <si>
    <t>Consolidación informe por estratégias (DESARROLLO SOSTENIBLE,PROSPERIDAD CON EQUIDAD,  INCLUSION SOCIAL,SEGURIDAD HUMANA Y BUEN GOBIERNO</t>
  </si>
  <si>
    <t>Recursos Propios</t>
  </si>
  <si>
    <t xml:space="preserve">Recolección, consolidación y elaboración   informe de gestión Sistema General de Regalías   diciembre 31 de   2016  </t>
  </si>
  <si>
    <t>Realizar el video de las ejecutorias de la Administración Departamental vigencia 2016 por ejes estratégicos, buscando aumentar el promedio de la participación ciudadana en los procesos de elección popular en el Departamento del Quindío durante la vigencia 2016</t>
  </si>
  <si>
    <t xml:space="preserve">Video ejecutorias  administración departamental vigencia 2016 (DESARROLLO SOSTENIBLE,PROSPERIDAD CON EQUIDAD,  INCLUSION SOCIAL,SEGURIDAD HUMANA Y BUEN GOBIERNO
</t>
  </si>
  <si>
    <t xml:space="preserve">Juan José Jaramillo Perez - Jefe de Proyectos y Cooperación Internacional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</si>
  <si>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</si>
  <si>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</si>
  <si>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</si>
  <si>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</si>
  <si>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</si>
  <si>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 del Departamento del Quindio, a través de la participación del Consejo Territorial de Planeación en encuentros Departamentales ,Nacionales y Regionales, de una estrategia de comunicaciones e imagen institucional , del diplomado en Ordenamiento Territorial y de la adquisición de equipos digitales y de computo, durante la vigencia 2016.   
</t>
  </si>
  <si>
    <t xml:space="preserve">Apoyar la participación de los integrantes del Consejo Territorial a congresos y eventos nacionales regionales y departamentales, en el Departamento del Quindio, durante la vigencia 2016 </t>
  </si>
  <si>
    <t>Participación CTP en encuentros departamentales -  nacionales y regionales</t>
  </si>
  <si>
    <t>Ordinario</t>
  </si>
  <si>
    <t>Norvey Valencia Roa Jefe Ordenamiento Territorial</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</si>
  <si>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2016.  </t>
  </si>
  <si>
    <t>Estrategia de comunicaciones e imagen institucional</t>
  </si>
  <si>
    <t xml:space="preserve">Impresos </t>
  </si>
  <si>
    <t xml:space="preserve">Aumentar los  espacios para capacitación orientados en planificación del territorio Quindiano a través de un diplomado en ordenamiento territorial en el Departamento del Quindio, durante la vigencia 2016. </t>
  </si>
  <si>
    <t>Diplomado en ordenamiento territorial</t>
  </si>
  <si>
    <t xml:space="preserve">Los instrumentos  de planificación como  ruta para el cumplimiento de la gestión pública  </t>
  </si>
  <si>
    <t>Formular  e implementar el  Plan de Desarrollo Departamental</t>
  </si>
  <si>
    <t>0305 - 5 - 3 1 5 28 87 17 8 - 20</t>
  </si>
  <si>
    <t xml:space="preserve"> Formulación del Plan de Desarrollo Departamental 2016 - 2019</t>
  </si>
  <si>
    <t xml:space="preserve">Aumentar los indices eficacia y eficiencia  de la inversión social en el Departamento del Quindio, a través de la formulación del Plan de Desarrollo 2016- 2019 (Componentes: Estrategico-financcero- seguimiento y evaluación) con  procesos de participación y sensibilización conducentes a  lograr el empoderamiento  de los entes territoriales municipales,  sociedad  civil y organizada en la ejecución del Plan, durante el periodo administrativo. </t>
  </si>
  <si>
    <t xml:space="preserve">Formular  e implementar  el Plan de Desarrollo Departamental  2016-2019 a través  de la  estructuración del componete estratégico, financiero, de seguimiento y evaluación,  con el fin de lograr la consrucción de  un instrumento de planificación  acorde al programa de gobierno  y las necesidades de la comunidad,  durante la vigencia 2016 </t>
  </si>
  <si>
    <t xml:space="preserve">Formular  e implementar  el Plan de Desarrollo Departamental  2016-2019 a través  de la  estructuración del componente estratégico </t>
  </si>
  <si>
    <t xml:space="preserve">Alvaro Arias Young Secretario de Planeación                                </t>
  </si>
  <si>
    <t xml:space="preserve">Formular  e implementar  el Plan de Desarrollo Departamental  2016-2019 a través  de la  estructuración del componete, financiero </t>
  </si>
  <si>
    <t>Formular  e implementar  el Plan de Desarrollo Departamental  2016-2019 a través  de la  estructuración del componente   de seguimiento y evaluación</t>
  </si>
  <si>
    <t>Coordinación, supervisión,  compilación y estructuración componente estratégico  financiero  y de seguimiento y evaluación  Plan de Desarrollo 2016-2019</t>
  </si>
  <si>
    <t>Seguimiento y evaluación Plan de Desarrollo 2016 - 2019</t>
  </si>
  <si>
    <t xml:space="preserve">Realizar la socialización del Plan de Desarrollo del Departamento del Quindio  2016- 2019, a través de  estrategias de divulgación ( Talleres de capacitación y  cartilla informativa), con el fin de lograr  el empoderamiento y  el control ciudadano en  el proceso de ejecución del  Plan  </t>
  </si>
  <si>
    <t>Socialización proyecto y odenanza  Plan de Desarrollo</t>
  </si>
  <si>
    <t>Diagramación e impresión cartilla Plan de Desarrollo 2016-2019</t>
  </si>
  <si>
    <t>Logistica</t>
  </si>
  <si>
    <t>Campañas de sensibilización Plan de Desarrollo 2016-2019</t>
  </si>
  <si>
    <t>Transporte y logistica jornadas de sensibilización grupos vulnerables</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</si>
  <si>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</si>
  <si>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</si>
  <si>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</si>
  <si>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Diseñar un sistema que garantice la calidad en la información de los esquemas y planes básicos para la toma de decisiones en el departamento del Quindío</t>
  </si>
  <si>
    <t xml:space="preserve">Diseñar e implementar el Plan de Ordenamiento del Departamento del Quindio(I- Fase)
</t>
  </si>
  <si>
    <t>Armonización de los Ordenamientos Territoriales de los doce  entes municipales</t>
  </si>
  <si>
    <t>Metodologias para expansión urbanistica y usos de suelo</t>
  </si>
  <si>
    <t xml:space="preserve"> </t>
  </si>
  <si>
    <t>Metodologias  para el Seguimiento y Evaluación Planes de Ordenamiento Territorial</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</si>
  <si>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</si>
  <si>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</si>
  <si>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del estado del arte</t>
  </si>
  <si>
    <t>Consolidación de Determinantes</t>
  </si>
  <si>
    <t xml:space="preserve">Fortalecer el  Sistema de Información Geográfica del Departamento del Quindío  </t>
  </si>
  <si>
    <t xml:space="preserve">Fortalecer el  Sistema de Información Geográfica del Departamento del Quindío </t>
  </si>
  <si>
    <t>Actulización de licencias y software</t>
  </si>
  <si>
    <t>Mantenimientos y actualización de datos</t>
  </si>
  <si>
    <t>Georeferenciación de la datos</t>
  </si>
  <si>
    <t>Adoptar dos (2) mecanismo de integracion regional  y  de asociatividad  entre los municipios.</t>
  </si>
  <si>
    <t xml:space="preserve">Adoptar dos (2) mecanismos de integracion regional  y  de asociatividad  entre los municipios.
</t>
  </si>
  <si>
    <t>Identificación de problemáticas  e intereses comunes en los  entes territoriales municipales</t>
  </si>
  <si>
    <t xml:space="preserve">Formulación de propuestas </t>
  </si>
  <si>
    <t>Convocatorias para acuerdos de voluntadas municipales</t>
  </si>
  <si>
    <t xml:space="preserve">Reorientar el Observatorio económico a un enfoque humano con variables sociales, economicas y de seguridad humana en el Departamento del Quindío  </t>
  </si>
  <si>
    <t>0305 - 5 - 3 1 5 28 87 17 10 - 20</t>
  </si>
  <si>
    <t xml:space="preserve"> Diseño    e implementación del Observatorio  de Desarrollo Humano en el Departamento del Quindio </t>
  </si>
  <si>
    <t xml:space="preserve">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</si>
  <si>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2016  </t>
  </si>
  <si>
    <t xml:space="preserve">Procesamiento de información secundaria </t>
  </si>
  <si>
    <t>Ordinarios</t>
  </si>
  <si>
    <t>Diseñar técnica y financieramente el modelo metodológico, los instrumentos, los procedimientos y la tecnología, con el fin  evaluar el impacto longitudinal de la inversión social</t>
  </si>
  <si>
    <t>Diseño e implementación de impacto longitudinal</t>
  </si>
  <si>
    <t xml:space="preserve">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2016    </t>
  </si>
  <si>
    <t xml:space="preserve">Coordinación institucional de la información </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</si>
  <si>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</si>
  <si>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</si>
  <si>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</si>
  <si>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</si>
  <si>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</si>
  <si>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Identificación, caracterización, seguimiento, control y evaluación   de las metas estratégicas para el gobierno departamental  - Plan de  Desarrollo "En Defensa del Bien Común"   y políticas públicas por  periodo administrativo 2016-2019 jenny</t>
  </si>
  <si>
    <t>RECURSOS PROPIOS</t>
  </si>
  <si>
    <t>Alvaro Arias Young Secretario de Planeacion</t>
  </si>
  <si>
    <t>Realizar seguimiento, control y evaluación de las metas estratégicas Plan de Desarrollo Deptartamental y la política pública de infancia y adolescecia para el periodo 2016, con el fin de fortalecer los procesos de planificación del Departamento y mejorar los índices de eficacia y eficiencia de la inversión social.</t>
  </si>
  <si>
    <t>Seguimiento, control y evaluación de metas estratégicas periodo administrativo 2016</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</si>
  <si>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</si>
  <si>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 xml:space="preserve">Lineamientos metodológico, tecnológico , presupuestal y financiero  para  la implementación  del tablero de  control " plan de desarrollo y la política pública de infancia y adolescencia " en el departamento del Quindío </t>
  </si>
  <si>
    <t xml:space="preserve">Diseñar e implementar la  Fábrica de Proyectos de Inversión en el Departamento del Quindío </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</si>
  <si>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</si>
  <si>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</si>
  <si>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Fortalecer la gestión de recursos a través del SGR, departamentales, nacionales e internacional para el apoyo de alternativas regionales- Brindar apoyo técnico integral e interdisciplinario a las secretarias de la gobernación del Quindío y a los entes territoriales en la identificación y formulación  de proyectos en el marco de la Metodología General Ajustada, Marco Lógico y otras
</t>
  </si>
  <si>
    <t xml:space="preserve"> Portafolio de proyectos estrategicos implementado</t>
  </si>
  <si>
    <t>0305 - 5 - 1 20 101 133 65 - 20</t>
  </si>
  <si>
    <t>Apoyo Tecnico Secretarias sectoriales  en la  formulacion y esctructuracion de proyectos</t>
  </si>
  <si>
    <t>0305 - 5 - 1 20 101 133 65 - 88</t>
  </si>
  <si>
    <t>Apoyo Tecnico entes territoriales municipales  para la formulacion y esctructuracion de proyectos</t>
  </si>
  <si>
    <t>Alvaro Arias Young  Secretario de Planeación</t>
  </si>
  <si>
    <t>0305 - 5 - 3 1 5 28 87 13 12 - 88</t>
  </si>
  <si>
    <t xml:space="preserve">Difusión y asesoria de convocatorias o postulaciones para obtencion de recursos internacionales y nacionales a través de la Casa Delegada </t>
  </si>
  <si>
    <t xml:space="preserve"> Norma Consuelo Mantilla Quintero        Profesional Universitarios                 </t>
  </si>
  <si>
    <t>Diseñar ewstudios de preinversión para gestión de proyectos de cofinanciación del orden nacional e internacional</t>
  </si>
  <si>
    <t>Estudios de preinversión  para gestión de proyectos de cofinanciación del orden nacional e internacional</t>
  </si>
  <si>
    <t>Superavit Recurso Ordinario</t>
  </si>
  <si>
    <t>Fortalecer el monitoreo, control y seguimiento de los proyectos de inversión en tiempo real</t>
  </si>
  <si>
    <t xml:space="preserve">monitoreo, control y seguimientos a proyectos a tiempo real </t>
  </si>
  <si>
    <t xml:space="preserve">Actualizar el Sistema Integrado de Gestión Administrativa SIGA del departamento del Quindío </t>
  </si>
  <si>
    <t xml:space="preserve">0305 - 5 - 3 1 5 28 87 17 13 - 20  </t>
  </si>
  <si>
    <t xml:space="preserve">Actualizar y/o  ajustar el Sistema Integrado de Gestión Administrativa SIGA del Departamento del Quindío </t>
  </si>
  <si>
    <t>Actualización del Sistema Integado de la Gestión Administrativa SIGA I- fase (procesos estratégicos, misionales, de apoyo y evaluación y control) durante la vigencia 2016</t>
  </si>
  <si>
    <t>Actualizar  y ajustar los procesos Estrategicos, Misionales de Apoyo y evaluación y control  del Sistema Integrado de Gestión Administrativa del Departamento del Quindio, a través de procesos de asistencia tecnica a los responsables de los mismos, con el fin de aumentar los indices de eficiencia y eficacia administratva en el Departamento del Quindio  durante la vigencia 2016</t>
  </si>
  <si>
    <t>Asistencia técnica   ajuste y actualización procesos  sistema integrado de gestión administrativa</t>
  </si>
  <si>
    <t xml:space="preserve"> 0305 - 5 - 3 1 5 28 87 17 13 - 88</t>
  </si>
  <si>
    <t xml:space="preserve">Capacitar a los funcionarios de la Administración departamental  en la operatividad del Sistema Integrado de la Gestión Administrativa  del Departamento del Quindio, con el fin de aumentar los indices de eficiencia y eficacia administrativa  en el Departamento del Quindio durante la vigencia 2016 </t>
  </si>
  <si>
    <t>Capacitación funcionarios secretarias sectoriales  administración departamental  sistema integrado de gestión administrativa</t>
  </si>
  <si>
    <t xml:space="preserve">Implementar el Comité  de Planificación  Departamental   </t>
  </si>
  <si>
    <t>0305 - 5 - 3 1 5 28 87 17 14 - 88</t>
  </si>
  <si>
    <t>Asistencia  técnica, seguimiento y evaluación  de la gestión  territorial en los  munipicios del Departamento del  Quindío.</t>
  </si>
  <si>
    <t xml:space="preserve">Realizar procesos de capacitación, asistencia ténica, seguimiento y evalución de la gestión territorial , durante  la vigencia 2016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</si>
  <si>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</si>
  <si>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</si>
  <si>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S. RECURSOS PROPIOS</t>
  </si>
  <si>
    <t xml:space="preserve">NORVEY VALENCIA ROA    JEFE DESARROLLO TERRITORIAL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</si>
  <si>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</si>
  <si>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</si>
  <si>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Capacitación , Asistencia técnica, seguimiento y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</si>
  <si>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</si>
  <si>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Capacitación , Asistencia técnica, seguimiento y evaluación  Ranking Integral de Desempeño </t>
  </si>
  <si>
    <t xml:space="preserve">Implementar en doce (12) municipios del Departamento del Quindío  procesos de sensibilización, capacitación,  asistencia técnica, seguimiento  y evaluación  en la aplicabilidad de los instrumentos de planificación </t>
  </si>
  <si>
    <t>Capacitación , Asistencia técnica, seguimiento y evaluación  instrumentos de planificación</t>
  </si>
  <si>
    <t>MARTHA ELENA GIRALDO RAMIREZ   DIRECTORA TECNICA SECRETARIA DE PLANEACION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</si>
  <si>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</si>
  <si>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</si>
  <si>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(Tecnico)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</si>
  <si>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</si>
  <si>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Capacitación, Asistencia técnica, seguimiento y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</si>
  <si>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</si>
  <si>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</si>
  <si>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</si>
  <si>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 evaluación Metodologia General Ajustada</t>
  </si>
  <si>
    <t>JUAN JOSE JARAMILLO PEREZ     JEFE DE PROYECTOS Y COOPERACION INTERNACIONAL</t>
  </si>
  <si>
    <t xml:space="preserve">Realizar procesos  de asistencia técnica, seguimiento y evaluacion  en la incorporación  de  las directrices del  Modelo de Ocupación del Territorio en los doce (12) Municipios </t>
  </si>
  <si>
    <t xml:space="preserve">Capacitación , Asistencia técnica, seguimiento y evaluación incorporación Modelo de Ocupación del Territorio en los doce municipios </t>
  </si>
  <si>
    <t xml:space="preserve">TOTAL: </t>
  </si>
  <si>
    <t xml:space="preserve">ALVARO ARIAS YOUNG </t>
  </si>
  <si>
    <t xml:space="preserve">SECRETARIO DE PLANEACION DEPARTAMENTAL </t>
  </si>
  <si>
    <t xml:space="preserve">CODIGO </t>
  </si>
  <si>
    <t>SUPERVISOR  RESPONSABLE</t>
  </si>
  <si>
    <t>p</t>
  </si>
  <si>
    <t xml:space="preserve">5. </t>
  </si>
  <si>
    <t xml:space="preserve">BUEN GOBIERNO </t>
  </si>
  <si>
    <t xml:space="preserve">28. </t>
  </si>
  <si>
    <t xml:space="preserve">GESTION TERRITORIAL </t>
  </si>
  <si>
    <t>88.</t>
  </si>
  <si>
    <t>GESTION TRIBUTARIA Y FINANCIERA</t>
  </si>
  <si>
    <t>Implementar 4 procesos de fiscalización de las Rentas Departamentales</t>
  </si>
  <si>
    <t>NRO</t>
  </si>
  <si>
    <t>0307 - 5 - 3 1 5 28 88 17 16 - 15  /  0307 - 5 - 3 1 5 28 88 17 16 - 20  /  0307 - 5 - 3 1 5 28 88 17 16 - 56  /  0307 - 5 - 3 1 5 28 88 17 16 - 87  /  0307 - 5 - 3 1 5 28 88 17 16 - 88  / 0307 - 5 - 1 22 104 138 121 - 15  /  0307 - 5 - 1 22 104 138 121 - 20  /  0307 - 5 - 1 22 104 138 121 - 88</t>
  </si>
  <si>
    <t xml:space="preserve"> Mejoramiento de la sostenibilidad de los procesos de fiscalización liquidación control y cobranza de los tributos en el Departamento del Quindío</t>
  </si>
  <si>
    <t xml:space="preserve">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vigenia 2016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</si>
  <si>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2016  
</t>
  </si>
  <si>
    <r>
      <t xml:space="preserve">Realizar  4 procesos de fiscalizaciòn  en los impuestos de </t>
    </r>
    <r>
      <rPr>
        <sz val="11"/>
        <color theme="1"/>
        <rFont val="Arial"/>
        <family val="2"/>
      </rPr>
      <t xml:space="preserve">vehículos automotores,I.S.V.A, registro, emtampilla y  al consumo y el monopolio de licores destilados y alcoholes potables en el Deprtamento del Quindio  </t>
    </r>
  </si>
  <si>
    <t>RECURSO ORDINARIO</t>
  </si>
  <si>
    <t>Ordinario / Rentas / Nación</t>
  </si>
  <si>
    <t>Natalia A. Rodríguez Londoño / Diana Carolina Varela Arboleda / Luz Adriana ángel Rios</t>
  </si>
  <si>
    <t xml:space="preserve">LUZ ELENA MEJIA CARDONA   SECRETARIA DE HACIENDA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</si>
  <si>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</si>
  <si>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</si>
  <si>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</si>
  <si>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 xml:space="preserve">Ejecutar el programa anti contrabando suscrito con la Federación Nacional de Departamentos.                               </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</si>
  <si>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</si>
  <si>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</si>
  <si>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15 - 56</t>
  </si>
  <si>
    <t>RENTAS -NACION</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</si>
  <si>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</si>
  <si>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</si>
  <si>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</si>
  <si>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y asi elevar el promedio de participación ciudadana en los procesos de elección popular en el Departamento del Quindio durante la vigencia 2016. 
</t>
  </si>
  <si>
    <t xml:space="preserve">Adoptar el nuevo modelo de informaciòn Financiera determinado por las Normas Internacionales de Contabilidad de información financiera NIIF, a fin de garantizar la confiabilidad de la información financiera y asi elevar el promedio de participación ciudadana en los procesos de elección popular en el Departamento del Quindio durante la vigencia 2016
</t>
  </si>
  <si>
    <t xml:space="preserve">Un (1) documento de la  Implementaciòn de Normas Internacionales de Informaciòn Financiera (NIIF)
</t>
  </si>
  <si>
    <t xml:space="preserve">Ordinario  </t>
  </si>
  <si>
    <t>Jafet Flórez Penagos</t>
  </si>
  <si>
    <t xml:space="preserve">Implementar un programa para el cumplimiento de las políticas y prácticas contables para la administración departamental         </t>
  </si>
  <si>
    <t xml:space="preserve">Elaborar el diagnóstico del sistema de información tributario y financiero, consolidando los sistemas de información y optimizando los procesos en el área de tesoreria, presupuesto y contabilidad a fin de garantizar la confiabilidad y oportunidad de la información financiera y asi elevar el promedio de participación ciudadana en los procesos de elección popular en el Departamento del Quindio durante la vigencia 2016 </t>
  </si>
  <si>
    <t xml:space="preserve">Un (1) software         Un (1) documento de la optimización de los procesos en el área de tesoreria,presupuesto y contabilidad
</t>
  </si>
  <si>
    <t xml:space="preserve">LUZ HELENA MEJIA  CARDONA </t>
  </si>
  <si>
    <t xml:space="preserve">Secretaria de Hacienda </t>
  </si>
  <si>
    <t>1 octubre de 2016</t>
  </si>
  <si>
    <t>CÓDIGO</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</si>
  <si>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</si>
  <si>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</si>
  <si>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</si>
  <si>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</si>
  <si>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</si>
  <si>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</si>
  <si>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</si>
  <si>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t>
  </si>
  <si>
    <t xml:space="preserve"> 0308 - 5 - 1 17 87 101 69 - 23</t>
  </si>
  <si>
    <t>Aplicación del Plan Vial Departamental en el Departamento del Quindío.</t>
  </si>
  <si>
    <t>Realizar acciones encaminadas a mejorar la infraestructura  vial, que permita la prestación de servicios con calidad y oportunidad para afrontar la desaceleración económica y alcanzar el renacimiento económico del Departamento del Quindio</t>
  </si>
  <si>
    <t xml:space="preserve">Mantener en buen estado la infraestructura vial
</t>
  </si>
  <si>
    <t>Mantener, mejorar y/o rehabilitar ciento treinta (130) km de vías del Departamento para la implementación del Plan Vial Departamental.        Apoyar la atención de emergencias viales en los doce (12) Municipios del Departamento del Quindío.</t>
  </si>
  <si>
    <t>Sobretasa al ACPM</t>
  </si>
  <si>
    <t>MARY CIELO SOLER CHACON / JOSÉ ORLANDO GUTIERREZ / YESICA RIOS LÓPEZ</t>
  </si>
  <si>
    <t xml:space="preserve">ALVARO JOSE JIMENEZ TORRRES   SECRETARIO DE AGUAS E INFRAESTRUCTURA </t>
  </si>
  <si>
    <t>0308 - 5 - 3 1 2 4 14 9 19 - 23 / 0308 - 5 - 3 1 2 4 14 9 19 - 88  / 0308 - 5 - 3 1 2 4 14 9 19 - 89</t>
  </si>
  <si>
    <t xml:space="preserve">  Mantener, mejorar, rehabilitar y/o atender las vías y sus emergencias, en cumplimiento del Plan Vial del Departamento del Quindío.</t>
  </si>
  <si>
    <t>23 - 89</t>
  </si>
  <si>
    <t>Sobretasa al ACPM-y superavit sobre tasa acpm</t>
  </si>
  <si>
    <t>98821</t>
  </si>
  <si>
    <t>MARY CIELO SOLER CHACON / PAULO CESAR RODRIGUEZ / JOSE ORLANDO GUTIERREZ / YESICA RIOS</t>
  </si>
  <si>
    <t xml:space="preserve">ALVARO JOSE JIMENEZ TORRES SECRETARIO DE AGUAS E INFRAESTRUCTURA </t>
  </si>
  <si>
    <t>Apoyar la atención de emergencias viales en los doce (12) Municipios del Departamento del Quindío.</t>
  </si>
  <si>
    <t>Superavit recurso ordinario</t>
  </si>
  <si>
    <t>Realizar ocho (8) estudios y/o diseños para el mantenimiento, mejoramiento y/o rehabilitación de la infraestructura vial en el departamento para la implementación del Plan vial departamental</t>
  </si>
  <si>
    <t>Atender las emergencias viales</t>
  </si>
  <si>
    <t>Realizar tres (3) estudios y/o diseños para el mantenimiento, mejoramiento y/o rehabilitación de la infraestructura vial en el departamento para la implementación del Plan vial departamental</t>
  </si>
  <si>
    <t>20-23-89</t>
  </si>
  <si>
    <t>Ordinario- Sobretasa al ACPM- Superavit sobre tasa acpm</t>
  </si>
  <si>
    <t xml:space="preserve">15. </t>
  </si>
  <si>
    <t>MEJORA DE LA INFRAESTRUCTURA SOCIAL DEL DEPARTAMENTO DEL QUINDIO</t>
  </si>
  <si>
    <t>Mejora de la Infraestructura  Social del Departamento del Quindío</t>
  </si>
  <si>
    <t>Mantener, mejorar y/o rehabilitar la Infraestructura de cuarenta y ocho (48) instituciones educativas en el departamento del Quindío.</t>
  </si>
  <si>
    <t>0308 - 5 - 1 17 92 109 75 - 04  /  0308 - 5 - 1 17 92 109 75 - 55</t>
  </si>
  <si>
    <t xml:space="preserve"> Construcción y/o mejoramiento de la Infraestructura Educativa, de todo el Departamento del Quindío.</t>
  </si>
  <si>
    <t>Mantener en buen estado la infraestructura educativa del departamento</t>
  </si>
  <si>
    <t>Mantener asequible y en buen estado la infraestructura social del departamento</t>
  </si>
  <si>
    <t>Mantener, mejorar y/o rehabilitar la Infraestructura de doce (12) instituciones educativas en el departamento del Quindío.</t>
  </si>
  <si>
    <t>04-55</t>
  </si>
  <si>
    <t>Estampilla Prodesarrollo</t>
  </si>
  <si>
    <t>ESTAMPILLA PRODESARROLLO</t>
  </si>
  <si>
    <t>CARLOS HUGO LIZARAZO / PAULO CESAR RODRIGUEZ / YESICA RIOS</t>
  </si>
  <si>
    <t xml:space="preserve">ALVARO JOSE JIMENEZ TORRES   SECRETARIO DE AGUAS E INFRAESTRUCTURA </t>
  </si>
  <si>
    <t>0308 - 5 - 3 1 2 4 15 15 21 - 04  /  0308 - 5 - 3 1 2 4 15 15 21 - 20 / 0308-5-3124151521-56 / 0308-5-3124151521 - 82</t>
  </si>
  <si>
    <t>Construir, mantener, mejorar y/o rehabilitar la infraestructura social del Departamento del Quindio</t>
  </si>
  <si>
    <t xml:space="preserve">Realizar acciones encaminadas a mejorar la infraestructura  social, que permita la prestación de servicios con calidad y oportunidad para afrontar la desaceleración económica y alcanzar el renacimiento económico del Departamento del Quindio
</t>
  </si>
  <si>
    <t xml:space="preserve">Mantener asequible y en buen estado la infraestructura social del departamento
</t>
  </si>
  <si>
    <t>04</t>
  </si>
  <si>
    <t xml:space="preserve">ESTAMPILLA PRODESARROLLO </t>
  </si>
  <si>
    <t>CARLOS HUGO LIZARAZO / PAULO CESAR RODRIGUEZ / JUAN MANUEL VALENCIA / MARY CIELO SOLER CHACON</t>
  </si>
  <si>
    <t>Apoyar la construcción, mejoramiento y/o  rehabilitación de la infraestructura de doce (12) escenarios deportivos y/o recreativos en el departamento del Quindío</t>
  </si>
  <si>
    <t>Apoyar la construcción, mejoramiento y/o  rehabilitación de la infraestructura de cuatro (4) escenarios deportivos y/o recreativos en el departamento del Quindío</t>
  </si>
  <si>
    <t>ALVARO JOSE JIMENEZ TORRES / MARY CIELO SOLER CHACÓN / PAULO CESAR RODRIGUEZ OSPINA</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</si>
  <si>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</si>
  <si>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una (1) obras físicas de infraestructura de bienestar social, de seguridad y de justicia del Departamento del Quindío.</t>
  </si>
  <si>
    <t>20-82</t>
  </si>
  <si>
    <t xml:space="preserve">ALVARO JOSE JIMENEZ TORRES /JUAN MANUEL VALENCIA / YESICA RIOS LÓPEZ / </t>
  </si>
  <si>
    <t>Apoyar la construcción, el mantenimiento, el mejoramiento y/o la rehabilitación de dos (2) obras físicas de infraestructura  Institucional o de edificios públicos del Departamento del Quindío.</t>
  </si>
  <si>
    <t xml:space="preserve">1. </t>
  </si>
  <si>
    <t>DESARROLLO SOSTENIBLE</t>
  </si>
  <si>
    <t>1.</t>
  </si>
  <si>
    <t xml:space="preserve">QUINDIO TERRITORIO VITAL </t>
  </si>
  <si>
    <t xml:space="preserve">MANEJO INTEGRAL DEL AGUA Y SANEAMIENTO BÁSICO </t>
  </si>
  <si>
    <t>Formular y ejecutar veinte (20) proyectos de infraestructura de agua potable y saneamiento básico</t>
  </si>
  <si>
    <t xml:space="preserve">N° de proyectos formulados y/o ejecutados </t>
  </si>
  <si>
    <t>0308 - 5 - 3 1 1 1 2 3 22 - 90</t>
  </si>
  <si>
    <t xml:space="preserve"> Apoyo en atenciones prioritarias en Agua Potable y/o Saneamiento Básico en el Departamento del Quindio</t>
  </si>
  <si>
    <t xml:space="preserve">Generar intervenciones prioritarias para la adecuación y optimización de sistemas de APSB </t>
  </si>
  <si>
    <t xml:space="preserve">formulación y ejecución de proyectos para atención prioritaria en APSB </t>
  </si>
  <si>
    <t xml:space="preserve">SGP  Agua Potable </t>
  </si>
  <si>
    <t>Juan Antonio Alvarez Osorio</t>
  </si>
  <si>
    <t xml:space="preserve">Proyectos de Agua potable y saneameitno básico con apoyo financiero </t>
  </si>
  <si>
    <t>0308 - 5 - 3 1 1 1 2 3 23 - 27</t>
  </si>
  <si>
    <t xml:space="preserve">  Construción y mejoramiento de la infraestructura de agua potable y saneamiento básico del Departamento del Quindio.</t>
  </si>
  <si>
    <t xml:space="preserve">Infraestructura eficiente para la prestación de servicios de agua potable y saneamiento básico </t>
  </si>
  <si>
    <t xml:space="preserve">Proyectos de infraestructura de agua potable y saneamiento básico </t>
  </si>
  <si>
    <t xml:space="preserve">Proyectos AAA ejecutados </t>
  </si>
  <si>
    <t>Convenio Consorcio FIA y convenio de uso de recursos entre el MVCT y el Departamento</t>
  </si>
  <si>
    <t>Apoyar  veinte (20) proyectos de agua potable y saneamiento básico de acuerdo al plan de acompañamiento social</t>
  </si>
  <si>
    <t xml:space="preserve">N° de proyectos apoyados </t>
  </si>
  <si>
    <t>0308 - 5 - 3 1 1 1 2 3 24 - 27</t>
  </si>
  <si>
    <t xml:space="preserve">  Ejecución del plan de acompañamiento social a los proyectos y obras de infraestructura de agua potable y saneamiento básico en el Departamento del Quindio</t>
  </si>
  <si>
    <t xml:space="preserve">Ejecutar el Plan de Acompañamiento social para los proyectos de agua potable y saneamiento básico del departamento del Quindío </t>
  </si>
  <si>
    <t xml:space="preserve">Seguimiento a la socialización de proyectos de agua potable y saneamiento básico </t>
  </si>
  <si>
    <t xml:space="preserve">Campañas de socialización </t>
  </si>
  <si>
    <t xml:space="preserve">COMPRAVENTA 010 DE 2016, PRESTACION DE SERVICIOS No. 1213 DE 2016, CONTRATO DE PRESTACION DE SERVICIOS No. 1022 DE 2016 </t>
  </si>
  <si>
    <t>Actualizar e implementar el plan ambiental para el sector de agua potable y saneamiento básico</t>
  </si>
  <si>
    <t xml:space="preserve">Un plan Ambiental Implementado y en Ejecución </t>
  </si>
  <si>
    <t>0308 - 5 - 3 1 1 1 2 3 25 - 27</t>
  </si>
  <si>
    <t xml:space="preserve"> Actualización e implementación del  Plan Ambiental para el sector de agua potable y saneamiento básico en el Departamento del Quindio</t>
  </si>
  <si>
    <t xml:space="preserve">Ejecutar el Plan Ambiental para el sector agua potable y saneamiento básico deacuerdo al decreto 1077 de 2015 para la vigencia 2016 - 2019
</t>
  </si>
  <si>
    <t xml:space="preserve">Preveer las fuentes de financiación de ley asociadas a este componentes en los entes territoriales, la CRQ, las empresas prestadoras de servicios publicos, excenciones trubutarias entre otros - Concertar obras e inversiones entre el Departamento, el Gestor, la CRQ del con base en el diagnostico del sector, la priorización de proyectos y las inversiones disponibles. - Definir el cumplimiento de los minimos ambientales para los proyectos de AAA en el Plan Ambiental del sector de APSB </t>
  </si>
  <si>
    <t xml:space="preserve">Contar con un plan ambiental concertado y en funcionamiento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</si>
  <si>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</si>
  <si>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</si>
  <si>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</si>
  <si>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26. Ejecución del plan de aseguramiento de la prestación de los servicios públicos de agua potable y saneamiento básico urbano y rural en el Departamento del Quindio</t>
  </si>
  <si>
    <t xml:space="preserve">Ejecución del Plan de Aeguramiento de la prestación de servicios públicos de agua potable y saneamiento básico urbano y rural en el departamento </t>
  </si>
  <si>
    <t xml:space="preserve">Promover esquemas emresariales sostenibles en el corto, mediano y largo plazo - Apoyar entidades prestadoras de servicios públicos domicialios - contratar el grupos gestor del PAP-PDA Quindío. </t>
  </si>
  <si>
    <t xml:space="preserve">Grupo gestor del PAP-PDA </t>
  </si>
  <si>
    <t xml:space="preserve">Promover esquemas empresariales sostenibles en el corto, mediano y largo plazo. </t>
  </si>
  <si>
    <t>Formular e implementar dos (2) proyectos para la gestión del riesgo del sector de agua potable y saneamiento básico. </t>
  </si>
  <si>
    <t xml:space="preserve">N° de proyectos ejecutados </t>
  </si>
  <si>
    <t>0308 - 5 - 3 1 1 1 2 3 27 - 27</t>
  </si>
  <si>
    <t xml:space="preserve"> Formulación y ejecución de proyectos para la gestión del riesgo del sector de agua potable y saneamiento básico en el Departamento del Quindio.</t>
  </si>
  <si>
    <t xml:space="preserve">Formular y ejecutar proyectos encaminados  a la gestión del riesgo del sector de agua potable y saneamiento básico en el departamento del Quindío </t>
  </si>
  <si>
    <t xml:space="preserve">Realizar un diagnostico de riesgo del secto de agua potable y saneamiento básico en el departamento del Quindío - Estructurar proyectos con su correspondiente priorización de recursos de la egstión del sector APSB </t>
  </si>
  <si>
    <t xml:space="preserve">Desarrollo de planes de inversión para el fortalecimiento de los procesos de gestión de riesgo en la prestación de sercivicios públicos de APSB </t>
  </si>
  <si>
    <t>ALVARO JOSE JIMENEZ TORRES</t>
  </si>
  <si>
    <t>Secretario de Aguas e Infraestructura</t>
  </si>
  <si>
    <t>SEGUIMIENTO  PLAN DE ACCIÓN</t>
  </si>
  <si>
    <t>SEGURIDAD HUMANA</t>
  </si>
  <si>
    <t xml:space="preserve">Seguridad humana como dinamizador de la vida, la dignidad y libertad Quindío </t>
  </si>
  <si>
    <t>Seguridad ciudadana para prevención y control del delito</t>
  </si>
  <si>
    <t>Apoyar la implementación de seis (6) programas de resocialización  en establecimientos carcelarios  del Departamento (sustento legal 1709 de 2014)</t>
  </si>
  <si>
    <t>Numero</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</si>
  <si>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</si>
  <si>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</si>
  <si>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</si>
  <si>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como fortalecimiento institucional para la resocialización.</t>
  </si>
  <si>
    <t>42/92</t>
  </si>
  <si>
    <t>Héctor Alberto Marín Rios/ Sandra Patricia Gaviria</t>
  </si>
  <si>
    <t>Héctor Alberto Marín Ríos Secretario del Interior</t>
  </si>
  <si>
    <t>Fortalecimiento de movilidad para los organismos de seguridad en el departamento</t>
  </si>
  <si>
    <t>Fortalecer 10 programas de prevención y superación del Sistema de responsabilidad penal para adolescentes</t>
  </si>
  <si>
    <t>Apoyo como fortalecimiento institucional para prevención y superación del Sistema de responsabilidad penal para adolescentes</t>
  </si>
  <si>
    <t>Apoyar la construcción, refacción o adecuación de  seis (6) estaciones de policía y/o guarniciones militares y/o instituciones carcelarias</t>
  </si>
  <si>
    <t>Insumos para mantenimientos locativos en establecimientos penitenciarios</t>
  </si>
  <si>
    <t>0309 - 5 - 3 1 4 23 75 18 28 - 20</t>
  </si>
  <si>
    <t>Mejoramiento de respuesta con adecuación y obras para los organismos de seguridad el depto</t>
  </si>
  <si>
    <t>Dotar cinco (5) organismos de seguridad de del departamento con elementos tecnológicos y logísticos que faciliten su operatividad y capacidad de respuesta</t>
  </si>
  <si>
    <t>0309 - 5 - 3 1 4 23 75 18 28 - 42</t>
  </si>
  <si>
    <t xml:space="preserve">Análisis de propuestas, como insusmos para procesos precontractulaes y contractuales, de acuerdo al plan de acción del comité de orden público </t>
  </si>
  <si>
    <t>Fondo de Seguridad 5%</t>
  </si>
  <si>
    <t>0309 - 5 - 3 1 4 23 75 18 28 - 92</t>
  </si>
  <si>
    <t>Análisis de propuestas, como insusmos para procesos precontractulaes y proyección de actos adtivos</t>
  </si>
  <si>
    <t>Superavid Fondo de Seguridad</t>
  </si>
  <si>
    <t>Análisis de propuestas, y estudios de mercado de propuestas, y proyectos presentados  ante el comité de orden público</t>
  </si>
  <si>
    <t xml:space="preserve">Fortalecimeinto institucional para la adecuada prestación del servicio a la comunidad </t>
  </si>
  <si>
    <t xml:space="preserve">Adecuación tecnologica de centros de inteligencia, CCTV en los municipios y plataforma satelital para los  organismos de seguridad del departamento </t>
  </si>
  <si>
    <t>Apoyar 3 observatorios locales del delito</t>
  </si>
  <si>
    <t>Diagnostico y levantamiento de información de los observatorios del departamento.</t>
  </si>
  <si>
    <t>Mejoramiento de respuesta con adecuación y obras para los organismos de seguridad del depto</t>
  </si>
  <si>
    <t>Convivencia,justicia y cultura de paz</t>
  </si>
  <si>
    <t>Apoyar la implementación de treinta y seis (36) programas de prevención del delito y mediación de conflictos en comunidades focalizadas del departamento</t>
  </si>
  <si>
    <t>0309 - 5 - 3 1 4 23 76 18 29 - 20</t>
  </si>
  <si>
    <t>Apoyo a la convivencia, justicia y cultura de paz en el departamento del Quindío</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</si>
  <si>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</si>
  <si>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</si>
  <si>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Levantamiento de información de aspectos social focalizado en comunidades vulnerables (diagnóstico)</t>
  </si>
  <si>
    <t>SANDRA GAVIRIA VILLAMIZAR</t>
  </si>
  <si>
    <t>Atencion integral de Barrios con situacion critica de convivencia en los 12 Municipios  del Departamento</t>
  </si>
  <si>
    <t xml:space="preserve">Atención social en localidades con situación critica de convivencia 
</t>
  </si>
  <si>
    <t>Actualizar el código departamental de Policía</t>
  </si>
  <si>
    <t xml:space="preserve">Logística y medios para socialización de programas y normativas en aspectos de seguridad y convivencia
</t>
  </si>
  <si>
    <t>Actualizar e implementar el Plan Integral de Seguridad y Convivencia Ciudadana (PISCC)</t>
  </si>
  <si>
    <t>15/0816</t>
  </si>
  <si>
    <t>Construcción de paz y reconcialización  en el Quindío</t>
  </si>
  <si>
    <t>Plan de Acción Territorial para las Víctimas del Conflicto</t>
  </si>
  <si>
    <t xml:space="preserve">Apoyar la articulación para la atención integral de las víctimas del conflicto por enfoque diferencial en  los 12 municipios del departamento
</t>
  </si>
  <si>
    <t>Implementación del Plan de Acción Territorial para la prevención, protección, asistencia, atención, reparación integral en el Departamento del Quindio.</t>
  </si>
  <si>
    <t xml:space="preserve">Incremento del porcentaje de cumplimiento de ley  1448 de 2011 atención a víctimas, que garntice  el goce efectivo de derchos
</t>
  </si>
  <si>
    <t xml:space="preserve">1.Entidades territoriales con asignación presupuestal por necesidad identificada 
2.Procesos de paz en ejecución  para el fin del conflicto 
3.Articulación institucional.
</t>
  </si>
  <si>
    <t xml:space="preserve">Procesos de articulación asistencia y atención a los municipios y su población víctima
</t>
  </si>
  <si>
    <t>20/88</t>
  </si>
  <si>
    <t>DIEGO FERNANDO ESCANDON MONTAÑO / MARÍA ALEJANDRA JARAMILLO</t>
  </si>
  <si>
    <t xml:space="preserve">Articulación de prevención y protección  dirigida a los municipios y su población víctima
</t>
  </si>
  <si>
    <t xml:space="preserve">Articulación para la  reparación integral dirigida a los municipios y su población víctima
</t>
  </si>
  <si>
    <t xml:space="preserve">Gestión para la participación </t>
  </si>
  <si>
    <t xml:space="preserve">Apoyo en proyectos productivos  para la población víctima ubicada en el departamento. 
</t>
  </si>
  <si>
    <t xml:space="preserve">0309 - 5 - 3 1 4 24 78 14 30 - 20  /  </t>
  </si>
  <si>
    <t xml:space="preserve">Publicidad y promoción foro departamental de interes cultural
</t>
  </si>
  <si>
    <t>0309 - 5 - 3 1 4 24 78 14 30 - 88</t>
  </si>
  <si>
    <t xml:space="preserve">Adecuación predio reubicación definitiva, cumplimiento fallo de tutela
</t>
  </si>
  <si>
    <t>20/19/2016</t>
  </si>
  <si>
    <t>Apoyar  la atención humanitaria inmediata a la población víctima del conflicto en los 12 municipios</t>
  </si>
  <si>
    <t xml:space="preserve">Atención inmediata de emergencia (suministro de ayudas) para la población que declara su hecho victimizante en el depto
</t>
  </si>
  <si>
    <t xml:space="preserve">Fortalecer el Comité departamental de justicia transicional y la mesa de participación efectiva de las víctimas del conflicto </t>
  </si>
  <si>
    <t>Desarrolo institucional a las sesiones de comites y sub-comites población víctima</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</si>
  <si>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</si>
  <si>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t>
  </si>
  <si>
    <t xml:space="preserve">
Diseñar e implementar el sistema de información para la prevención, atención, asistencia y reparación integral a las víctimas del conflicto armado interno </t>
  </si>
  <si>
    <t xml:space="preserve">Adquisición de software y/o tecnología, para la implementación del sistema de información
</t>
  </si>
  <si>
    <t xml:space="preserve">Levantamiento información,organización y articulación de la misma.
</t>
  </si>
  <si>
    <t>Número</t>
  </si>
  <si>
    <t>0309 - 5 - 1 8 63 57 25 - 20</t>
  </si>
  <si>
    <t>Inversiones de desarrollo del PARIV y atención a víctimas del conflicto armado todo el departamento del Quindío</t>
  </si>
  <si>
    <t>Garantizar la cobertura en los municipios del departamento con programas de protección y garantía de derechos a la población víctima del conflicto armado y en condición de desplazamiento. </t>
  </si>
  <si>
    <t>1.Apropiación y gestión de recursos de entidades públicas para ayudas humanitarias destinadas a la población víctima
2. Estrategias de socializaciòn  y organizaciòn  de la poblaciòn victima  de aceurdo a  ley  1548 de 2011</t>
  </si>
  <si>
    <t>Enlace para levantamiento de información para el PAT departamental  (Componente técnico)</t>
  </si>
  <si>
    <t>Transporte víctimas 
(Adquisición de bienes y servicios)</t>
  </si>
  <si>
    <t>Convenio ESAP Asistencia soccial)</t>
  </si>
  <si>
    <t>Hogarde paso  (Adquisición de bienes y servicios)</t>
  </si>
  <si>
    <t xml:space="preserve">Suminsitro ayuda humanitaria (Adquisición de bienes y servicios) </t>
  </si>
  <si>
    <t>El Quindío departamento resiliente</t>
  </si>
  <si>
    <t>Protección  y garantias de no repetición</t>
  </si>
  <si>
    <t>Implementar el plan integral de prevención a las violaciones de  Derechos Humanos DDHH e infracciones  al Derecho Internacional Humanitario DIH</t>
  </si>
  <si>
    <t>0309 - 5 - 3 1 4 24 79 14 32 - 20</t>
  </si>
  <si>
    <t>Implementación del plan integral de prevención de vulneraciones de DDHH y DIH del departamento del Quindío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</si>
  <si>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</si>
  <si>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</si>
  <si>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Implementación plan integral de prevención de vulneración de DDHH  (un documento)</t>
  </si>
  <si>
    <t xml:space="preserve">Apoyar en los doce (12) municipios la articulación institucional para la prevención a las violaciones DDHH  e infracciones al DIH </t>
  </si>
  <si>
    <t>Diseño e imprenta material para prevención de delitos y vulneración de DDHH y DIH</t>
  </si>
  <si>
    <t>Actualizar e Implementar el plan lucha contra la trata de personas</t>
  </si>
  <si>
    <t>Apoyo en servicios enfocados  a las medidas de reubicación inmediata</t>
  </si>
  <si>
    <t>Actualizacón e implementación del  plan integral de prevención en  lucha contrata la trata de personas  (un documento)</t>
  </si>
  <si>
    <t>0309 - 5 - 1 8 63 56 29 - 20</t>
  </si>
  <si>
    <t>Inversiones prevención y protección a víctimas todo el departamento del Quindío.</t>
  </si>
  <si>
    <t>1. Políticas de atención para personas y familias receptoras en el departamento del Quindío
2.Implementaciòn  de Planes  en  Prevenciòn (No repeticiòn) ,protecciòn , asistencia  y atenciòn  a victtimas  del conflicto</t>
  </si>
  <si>
    <t>Participación comité, y activación de protocolo en caso necesario (componente técnico)</t>
  </si>
  <si>
    <t>2206/2016</t>
  </si>
  <si>
    <t xml:space="preserve">Transporte reubicación inemdiata </t>
  </si>
  <si>
    <t xml:space="preserve">Socialización y participación en la divulgación de los DDHH y DIH (Desarrollo institucional) </t>
  </si>
  <si>
    <t>Preparados para la paz</t>
  </si>
  <si>
    <t>Implementar plan de acción de Derechos Humanos articulado interinstitucionalmente, de  protección de los Derechos Humanos DDHH y la Paz en los doce (12) municipios del departamento</t>
  </si>
  <si>
    <t>0309 - 5 - 3 1 4 24 80 14 34 - 20</t>
  </si>
  <si>
    <t>Construcción de la paz territorial en el departamento del Quindío</t>
  </si>
  <si>
    <t xml:space="preserve">Promoción de sociedades pacíficas e inclusivas para el desarrollo sostenible,facilitar el acceso a la justicia para todos y crear instituciones eficaces, responsables e inclusivas a toodos los niveles (ODS 16). 
</t>
  </si>
  <si>
    <t xml:space="preserve">1.Factores generadores  de expresión de valores,actidudes,tradiciones y patrones de comporatmiento de respeto a la vida,los DDHH y la libertad de expresón 
2.Creación de una cultura en DDHH e igualdad y no discriminación 
</t>
  </si>
  <si>
    <t>Formulación e implemtación del plan de DDHH (un documento)</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</si>
  <si>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</si>
  <si>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</si>
  <si>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Semana por la paz y el foro de DDHH</t>
  </si>
  <si>
    <t>0309 - 5 - 1 8 63 58 24 - 20</t>
  </si>
  <si>
    <t>Inversiones desarrollo del plan departamental de prevención y protección DDHH y DIH en el departamento del Quindío</t>
  </si>
  <si>
    <t>Apoyar la formulación y actualización de los planes municipales de acción de DDHH y DIH.</t>
  </si>
  <si>
    <t xml:space="preserve">1. Alta cobertura en la difusiòn de la informaciòn
2.Aumento de los medios masivos que se vinculen a estos procesos.
3.  Incremento en el interès de la poblaciòn Y organsimos en el tema de derechos humanos y derecho internacional humanitario 
</t>
  </si>
  <si>
    <t>Participación en el levantamiento de indormación para el plan de acción  de DDHH  (componente técnico )</t>
  </si>
  <si>
    <t>Recursp Ordinario</t>
  </si>
  <si>
    <t>Apoyo en las actuciones institucionales  referentes al post-conflicto</t>
  </si>
  <si>
    <t>Quindío protegiendo el futuro</t>
  </si>
  <si>
    <t xml:space="preserve">Realizar catorce (14) estudios de riesgo y análisis de vulnerabilidad en  los municipios del departamento </t>
  </si>
  <si>
    <t>0309 - 5 - 3 1 4 25 81 12 36 - 20</t>
  </si>
  <si>
    <t>Administración del riesgo mediante el conocimiento, la reducción y el manejo del desastres  en el departamento del Quindío</t>
  </si>
  <si>
    <t xml:space="preserve">Lograr que las ciudadaes y los asentamientos humanos sean inclusivos,resilientes y sostenibles (ODS-objetivo 11)
</t>
  </si>
  <si>
    <t xml:space="preserve">1.Conocimiento de los riesgos en el departamento.
2.Diseñar modelos de reducción del riesgo en el departamento.
3.Fortalecer las instituciones  para el adecuado manejo de los desastres.  
</t>
  </si>
  <si>
    <t xml:space="preserve">Levantamiento de información cartográfica 
</t>
  </si>
  <si>
    <t>12/0816</t>
  </si>
  <si>
    <t>Héctor Alberto Marín Ríos Secretario del Interior
DIRECTOR UDEGERD</t>
  </si>
  <si>
    <t xml:space="preserve">Suministro logístico y transporte para levenatamiento de información
</t>
  </si>
  <si>
    <t xml:space="preserve">Apoyo institucional para realización de estudis de Vulnerabilidad  
</t>
  </si>
  <si>
    <t xml:space="preserve">Apoyar a ciento cincuenta (150) instituciones educativas del departamento en la formulación de Planes Escolares de Gestión del Riesgo (PGERD) </t>
  </si>
  <si>
    <t xml:space="preserve">Realización de campañas educativas en instituciones.
</t>
  </si>
  <si>
    <t>Capacitación y difusión conocimiento del riesgo</t>
  </si>
  <si>
    <t xml:space="preserve">Suministro logístico para realización de campañas educativas  .
</t>
  </si>
  <si>
    <t xml:space="preserve">Apoyo institucional para realización de campañas educativas.   
</t>
  </si>
  <si>
    <t xml:space="preserve">Adquisición de material didáctico,elemetos de protección y amplificación. 
</t>
  </si>
  <si>
    <t>Apoyar a los doce (12) municipios del departamento en procesos de educación a las comunidades frente a la prevención y preparación para las emergencias por fenómenos de origen natural y/o antrópico no intencional</t>
  </si>
  <si>
    <t xml:space="preserve">Apoyo de recursos humano interdisciplinario para implementación de protocolos de emergencia.
</t>
  </si>
  <si>
    <t>Procesos de manejo de desastres</t>
  </si>
  <si>
    <t xml:space="preserve">Realizar 10 intervenciones en  áreas vulnerables del departamento </t>
  </si>
  <si>
    <t xml:space="preserve">Intervenciones, obras de ingeniería y/o análisis vulnerabilidad.
</t>
  </si>
  <si>
    <t xml:space="preserve">Fortalecer el comité departamental de gestión del riesgo de desastres </t>
  </si>
  <si>
    <t>Comité departamental de gestión del riesgo de desastres fortalecido</t>
  </si>
  <si>
    <t xml:space="preserve">Adquisición de equipos de comunicación y repetidoras.
</t>
  </si>
  <si>
    <t xml:space="preserve">Mantenimiento de las redes de comunicación. 
</t>
  </si>
  <si>
    <t>0309 - 5 - 1 18 97 125 22 - 20</t>
  </si>
  <si>
    <t>Inversiones conocimiento, reducción del riesgo y manejo de desastres en el departamento del Quindío.</t>
  </si>
  <si>
    <t>Aumentar el porcentaje de  cobertura cartográfica y estadística de riesgos del departamento por amenazas naturales; infraestructuras vulnerables y  asentamientos precarios.</t>
  </si>
  <si>
    <t>1. Asistencia en visitas técnicas para el levantamiento de información del asentamiento 
2.Adecuadas prácticas en construcción</t>
  </si>
  <si>
    <t xml:space="preserve">Realización de programas y talleres de prevención (componete técnico) </t>
  </si>
  <si>
    <t>FABER MOSQUERA ALVAREZ</t>
  </si>
  <si>
    <t xml:space="preserve">Ejecucón de Programas de conocimiento dirigido  ainstituciones (componen técnico) </t>
  </si>
  <si>
    <t>Apoyo profesional  en presentaciones y divulgaciones  de la prevención y el conocimiento del riesgo</t>
  </si>
  <si>
    <t xml:space="preserve">Ralización de Campañas lúdico educativas </t>
  </si>
  <si>
    <t>Suministro ayuda humanitaria alimentos (Adquisición de bienes y servicios )</t>
  </si>
  <si>
    <t>Seguimiento a los comites,levantamiento de actas y proyección de actos administrativos (componente técnico)</t>
  </si>
  <si>
    <t>Arrendamiento cerro azul para las comunicaciones (Campañas,publicidad y promociòn)</t>
  </si>
  <si>
    <t>Suminitro ayuda humanitaria tejas (Adquisición de bienes y servicios )</t>
  </si>
  <si>
    <t>Fortalecimiento institucional para la gestión del riesgo de desastres como una estrategía de desarrollo</t>
  </si>
  <si>
    <t>Poner en funcionamiento operativo la sala de crisis del Departamento</t>
  </si>
  <si>
    <t>0309 - 5 - 3 1 4 25 82 12 38 - 20</t>
  </si>
  <si>
    <t>Apoyo institucional en la gestión del riesgo en el departamento del Quindío</t>
  </si>
  <si>
    <t xml:space="preserve">1.Cumplimiento de los protocolos para la preparación y manejo de la emergencia.
2.Destinación de recursos en el ambito local para la atención de las emergencias.
</t>
  </si>
  <si>
    <t>Manejo de dinformación estadística relacionada con gestión del riesgo</t>
  </si>
  <si>
    <t xml:space="preserve">Adquisición de equipos de comunicación para la gestión del riesgo
</t>
  </si>
  <si>
    <t xml:space="preserve">Mantenimiento de equipos sala de crisis 
</t>
  </si>
  <si>
    <t>Fortalecer  la dotación de la bodega estratégica de la Unidad Departamental de la Gestión del Riesgo de Desastres UDEGER</t>
  </si>
  <si>
    <t>Suministro de ayudas humanitarias a los doce municipios (en los cuales la comunidad se vea afectada por fenómenos naturales y/o antropicos no intencionales)</t>
  </si>
  <si>
    <t>Qundío Transparente y Legal</t>
  </si>
  <si>
    <t>Veedurias  y rendición de cuentas</t>
  </si>
  <si>
    <t>Implementar un (1) programa de fortalecimiento de las veedurías ciudadanas del departamento</t>
  </si>
  <si>
    <t>Programa de fortalecimiento implementado</t>
  </si>
  <si>
    <t>0309 - 5 - 3 1 5 26 84 16 42 - 20</t>
  </si>
  <si>
    <t>Fortalecimiento de las veedurías ciudadanas en el departamento del Quindío</t>
  </si>
  <si>
    <t xml:space="preserve">Consolidar mecanismos  de integración  regional y municipal 
</t>
  </si>
  <si>
    <t xml:space="preserve">1. Conocimiento de la legislación que permite el ejercicio  del control social 
2. Difusión masiva sobre  el ejercicio del control social 
</t>
  </si>
  <si>
    <t xml:space="preserve">Fortalecimiento red institucional  de apoyo a las veedurias.
</t>
  </si>
  <si>
    <t>SANDRA PATRICIA GAVIRIA</t>
  </si>
  <si>
    <t xml:space="preserve">Héctor Alberto Marín Ríos Secretario del Interior
</t>
  </si>
  <si>
    <t xml:space="preserve">Apoyo a eventos y promoción del control social 
</t>
  </si>
  <si>
    <t xml:space="preserve">Comunicación social pertiente  para la promoción social.
</t>
  </si>
  <si>
    <t>Desarrollar estrategias tendientes a promover la participación ciudadana en el departamento</t>
  </si>
  <si>
    <t>0309 - 5 - 3 1 5 27 85 16 39 - 20</t>
  </si>
  <si>
    <t>Construcción de la participación ciudadana y control social en el departamento del Quindío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</si>
  <si>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</si>
  <si>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2.Convicción de la comunidad  en los programas encaminados a brindar el acercamiento a las instituciones públicas
3. Fortalecimeinto en la estructuración de políticas, programas ,legislación, proyectos sociales y desarrollo comunitario.
</t>
  </si>
  <si>
    <t xml:space="preserve">Servicios profesionales para desarrollar actividades  propias para la creacion y puesta en marcha del Consejo Departamental de Participación de Ciudadana  </t>
  </si>
  <si>
    <t>Recursos Ordinarios</t>
  </si>
  <si>
    <t xml:space="preserve">Funcionamiento y puesta en marcha  plan de acción  del  Consejo departamental de participación Ciudadana.
</t>
  </si>
  <si>
    <t>Actividades de diseño, imprenta, promoción y divulgación</t>
  </si>
  <si>
    <t>Creación y puesta en funcionamiento  del Consejo departamental de participación Ciudadana</t>
  </si>
  <si>
    <t xml:space="preserve">Planificación de estrategías (programas,campañas etc),para la
participación ciudadana. </t>
  </si>
  <si>
    <t xml:space="preserve">Levantamiento de información para estrategías (programas,campañas etc),para la participación ciudadana. </t>
  </si>
  <si>
    <t xml:space="preserve">Fortalecimiento institucional a través de diagnosticos que permitan identificar canales idóneos de participación.
</t>
  </si>
  <si>
    <t xml:space="preserve">Apoyo,promoción y divulgación para la  participación ciudadana  . 
</t>
  </si>
  <si>
    <t>Formular e implementar la política pública departamental de libertad religiosa en desarrollo  del árticulo 244 de la ley  1753 "por medio de la cual  se expide  el Plan Nacional de Desarrollo 2014-2018 TODOS POR UN NUEVO PAÍS"</t>
  </si>
  <si>
    <t xml:space="preserve">Diagnostico primario y levantamiento de información para la politíca pública departamental de libertad religiosa.
</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</si>
  <si>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</si>
  <si>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</si>
  <si>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</si>
  <si>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</si>
  <si>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Desarrollo de  los organismos comunales del departamento del Quindío</t>
  </si>
  <si>
    <t xml:space="preserve">Consolidar mecanismos  de integración  regional y municipal 
</t>
  </si>
  <si>
    <t xml:space="preserve">1. Fortalecer la estructuración deprogramas de capacitación en legislación, proyectos sociales y desarrollo comunitario.
2.Mejoramiento en  los procesos de inspección, vigilancia y control realizados a los organismos comunales.
</t>
  </si>
  <si>
    <t xml:space="preserve">Capacitaciones en legislación comunal dirigida a dignatarios 
</t>
  </si>
  <si>
    <t xml:space="preserve">Desarrollo institucional  dirigido a la federación comunal .
</t>
  </si>
  <si>
    <t xml:space="preserve">Conmemoraciones organismos comunales 
</t>
  </si>
  <si>
    <t>Formación y capacitación cursos básicos para los organismos comunales</t>
  </si>
  <si>
    <t>Asistencia y participación, en congresos,seminarios,diplomados de indole institucional para el fortaleciemiento de partaicipación comunal</t>
  </si>
  <si>
    <t xml:space="preserve">Promoción, divulgación y seguimiento organismos comunales
</t>
  </si>
  <si>
    <t>Organización de eventos,campañas o actividades  propias de las iniciativas comunales</t>
  </si>
  <si>
    <t xml:space="preserve">Desarrollo de actividades del programa de veedurias ciudadanas del departamento.
</t>
  </si>
  <si>
    <t xml:space="preserve">fortalecer  organismos comunales en los  12 municipios del departamento en el mejoramiento organizacional y participativo </t>
  </si>
  <si>
    <t>0309 - 5 - 1 21 103 136 26 - 20</t>
  </si>
  <si>
    <t>Inversiones fortalecimiento de los organismos comunales del departamento del Quindío.</t>
  </si>
  <si>
    <t>Incrementar la cobertura para el fortalecimiento organismos comunales del Departamento.</t>
  </si>
  <si>
    <t>Incremento de programas institucionales en apoyo y motivación  alas comunidades del departamento</t>
  </si>
  <si>
    <t>Compraventa de elementos de apoyo para  la realización de elecciones  de los organismos  comunales para el periodo 2016-2020</t>
  </si>
  <si>
    <t>Ordinario}</t>
  </si>
  <si>
    <t>HECTOR ALBERTO MARIN RIOS</t>
  </si>
  <si>
    <t>Secretario del Interior</t>
  </si>
  <si>
    <t xml:space="preserve">SEGUIMIENTO PLAN DE ACCIÓN  </t>
  </si>
  <si>
    <t xml:space="preserve">3. </t>
  </si>
  <si>
    <t xml:space="preserve">INCLUSIÓN SOCIAL </t>
  </si>
  <si>
    <t xml:space="preserve">  </t>
  </si>
  <si>
    <t>9.</t>
  </si>
  <si>
    <t>CULTURA, ARTE Y EDUCACION PARA LA PAZ</t>
  </si>
  <si>
    <t>29.</t>
  </si>
  <si>
    <t xml:space="preserve">ARTE PARA TODOS </t>
  </si>
  <si>
    <t>Apoyar  treinta (30) proyectos y/o actividades de formación, difusión, circulación, creación e investigación, planeación y de espacios para el disfrute de las artes</t>
  </si>
  <si>
    <t>Nro de proyectos aprobados</t>
  </si>
  <si>
    <t>0310 - 5 - 1 3 39 26 12 - 20</t>
  </si>
  <si>
    <t xml:space="preserve">  Fortalecimiento institucional para el sector cultural en todo el Departamento del Quindío.</t>
  </si>
  <si>
    <t xml:space="preserve">Ampliar el acceso a las manifestaciones, bienes y servicios culturales para facilitar el disfrute de la población del departamento especialmente de los niños, niñas y jóvenes más vulnerables 
</t>
  </si>
  <si>
    <t>Capacitar actores culturales</t>
  </si>
  <si>
    <t>Capacitacion de actores culturales ( 20 EVENTOS)</t>
  </si>
  <si>
    <t>RECURSO ORDINARIO (20)</t>
  </si>
  <si>
    <t xml:space="preserve">DIRECTOR DE ARTE Y CULTURA </t>
  </si>
  <si>
    <t xml:space="preserve"> JAMES GONZALEZ MATA SECRETARIO DE CULTURA</t>
  </si>
  <si>
    <t>Fortalecer los espacios de participación ciudadana en el sector Cultural</t>
  </si>
  <si>
    <t>Fortalecimiento de los espacios de participacion (1 EVENTO)</t>
  </si>
  <si>
    <t>Incrementar los espacios para el disfrute de las artes</t>
  </si>
  <si>
    <t>Espacios para la promocion, difusion y circulacion artistica (Crear 33 espacios)</t>
  </si>
  <si>
    <t>0310 - 5 - 3 1 3 9 29 5 44 - 135/ 0310-5-13-40-30-16-34/ 0310 - 5 - 1 3 40 30 16 - 20</t>
  </si>
  <si>
    <t xml:space="preserve"> Fortalecimiento del Plan Departamental de Lectura y bibliotecas en todo el Departamento del Quindio</t>
  </si>
  <si>
    <t>Mejorar los niveles de lectura, escritura creativa y conocimiento de la memoria local de la poblacion del departamento del Quindío</t>
  </si>
  <si>
    <t>Formar actores de lectura y escritura en el departamento del Quindio</t>
  </si>
  <si>
    <t>Formacion de promotores de lectura y escritura (30 eventos de formacion)</t>
  </si>
  <si>
    <t>34 -135</t>
  </si>
  <si>
    <t>ESTAMPILLA PROCULTURA</t>
  </si>
  <si>
    <t>Estampilla Pro -cultura 10% Bibliotecas</t>
  </si>
  <si>
    <t>0310 - 5 - 3 1 3 9 29 5 45 - 33 / 0310-5-31-3-9-29-5-45-83 / 0310-5-313-9-29-5-45-135</t>
  </si>
  <si>
    <t xml:space="preserve"> Apoyo a seguridad social del creador y gestor cultural del Departamento del Quindio </t>
  </si>
  <si>
    <t>Garantizar la seguridad social integral a gestores culturales y artistas.</t>
  </si>
  <si>
    <t>Garantizar que artistas y gestores culturales de la tercera edad con bajos ingresos reciban atencion adecuada</t>
  </si>
  <si>
    <t>Reconocimiento de la calidad de artista y gestor cultural por el Consejo departamental de Cultura</t>
  </si>
  <si>
    <t>ESTAMPILLA PRO CULTURA 10% SEGURIDAD SOCIAL</t>
  </si>
  <si>
    <t>Aportes para la seguridad social de los artistas reconocidos por el Consejo Departamental de Cultura ( Cantidad poblacion ref)</t>
  </si>
  <si>
    <t>Nro de proyectos aprobados del programa de concertación cultural</t>
  </si>
  <si>
    <t>0310 - 5 - 3 1 3 9 29 5 46 - 20  /0310-5-31-39- 29-5-46-88/ 0310-5-1-3-40-28-20-88</t>
  </si>
  <si>
    <t xml:space="preserve"> Apoyo al arte y la cultura en todo el Departamento del Quindío</t>
  </si>
  <si>
    <t>Fortalecer los procesos de formacion, difusion, circulacion creacion e investigacion, para mejorar la calidad y el acceso a las artes y la cultura de la poblacion mas vulnerable del Quindío</t>
  </si>
  <si>
    <t>Aumentar los procesos de planeación, formación y articulación institucional cultural y artistica</t>
  </si>
  <si>
    <t>Apoyo a eventos y actividades (3)</t>
  </si>
  <si>
    <t>ordinario</t>
  </si>
  <si>
    <t xml:space="preserve">SECRETARIO DE CULTURA </t>
  </si>
  <si>
    <t xml:space="preserve">DIRECTOR DE CULTURA ARTE Y PATRIMONIO </t>
  </si>
  <si>
    <t xml:space="preserve">JEFE DE PATRIMONIO </t>
  </si>
  <si>
    <t>Apoyar  ciento veinte (120) proyectos del programa de concertación cultural del departamento</t>
  </si>
  <si>
    <t xml:space="preserve"> 0310 - 5 - 3 1 3 9 29 5 46 - 39 , 0310 - 5 - 3 1 3 9 29 5 46 - 83/ 0310-5-1-3-40-28-20-39</t>
  </si>
  <si>
    <t>Fortalecer la concertacion de proyectos artisticos y culturales</t>
  </si>
  <si>
    <t>Proyectos de Concertacion (3)</t>
  </si>
  <si>
    <t>ESTAMPILLA PRO CULTURA 50% CONCERTACION</t>
  </si>
  <si>
    <t>Estampilla Pro-Cultura</t>
  </si>
  <si>
    <t>SECRETARIO DE CULTURA</t>
  </si>
  <si>
    <t>ASESORA DE DESPACHO GRADO 02</t>
  </si>
  <si>
    <t xml:space="preserve">PROFESIONAL UNIVERSITARIO </t>
  </si>
  <si>
    <t>DIRECTOR ADMISNISTRATIVO Y FINANCIERO</t>
  </si>
  <si>
    <t>Apoyar treinta y seis (36) proyectos mediante estímulos artísticos y culturales</t>
  </si>
  <si>
    <t xml:space="preserve"> 0310 - 5 - 3 1 3 9 29 5 46 - 41 , 0310 - 5 - 3 1 3 9 29 5 46135</t>
  </si>
  <si>
    <t>Incrementar los estimulos para los artistas, investigadores y creadores</t>
  </si>
  <si>
    <t>Estimulos a las artes y la cultura ( 4 )</t>
  </si>
  <si>
    <t>ESTAMPILLA PRO CULTURA 10% ESTIMULOS</t>
  </si>
  <si>
    <t>JAMES GONZALEZ MATA  SECRETARIO DE CULTURA</t>
  </si>
  <si>
    <t>EMPRENDIMIENTO CULTURAL</t>
  </si>
  <si>
    <t>Fortalecer cinco (5) procesos de emprendimiento cultural y de desarrollo de industrias creativas</t>
  </si>
  <si>
    <t>Nro de procesos de emprendimiento cultural fortalecidos</t>
  </si>
  <si>
    <t>0310 - 5 - 3 1 3 9 30 5 47 - 39 /0310-5-31-3-9-30-5-47-40 / 0310 -5-3-1-3-9-30-5-47-135</t>
  </si>
  <si>
    <t xml:space="preserve">47. Fortalecimiento y promoción del  emprendimiento cultural y las industrias creativas en el Departamento </t>
  </si>
  <si>
    <t>Lograr mayor formalización del sector artístico y cultural</t>
  </si>
  <si>
    <t>Formalizacion del sector (2)</t>
  </si>
  <si>
    <t>ESTAMPILLA PRO CULTURA 50%CONCERTACION</t>
  </si>
  <si>
    <t>ASESORA DEL DESPACHO GRADO 2</t>
  </si>
  <si>
    <t>Formular una politica para el emprendimiento cultural</t>
  </si>
  <si>
    <t>Capacitacion para el emprendimiento cultural (2 )</t>
  </si>
  <si>
    <t>Desarrollar procesos de formacion sobre el emprendimiento cultural</t>
  </si>
  <si>
    <t>Formulacion de la politica para el emprendimiento cultural (4)</t>
  </si>
  <si>
    <t>LECTURA, ESCRITURA Y BIBLIOTECAS</t>
  </si>
  <si>
    <t>Apoyar  veinte (20) proyectos y/o actividades en investigación, capacitación y difusión de la lectura y escritura para fortalecer la Red Departamental de Bibliotecas</t>
  </si>
  <si>
    <t>Nro de proyectos y/o actividades apoyadas</t>
  </si>
  <si>
    <t>0310 - 5 - 3 1 3 9 31 5 48 - 34/ 0310 - 5 - 3 1 3 9 31 5 48-83/ 0310 - 5 - 1 3 40 30 16 - 20/0310 - 5 - 1 3 40 30 16 - 34</t>
  </si>
  <si>
    <t xml:space="preserve"> Fortalecimiento al  Plan Departamental  de lectura, escritura y bibliotecas en el Departamento del Quindio .</t>
  </si>
  <si>
    <t>Ampliar el acceso de la población a la información, el conocimiento y la memoria local a través del fortalecimiento de la Red de Bibliotecas Públicas</t>
  </si>
  <si>
    <t>Fortalecimiento de la red departametal de bibliotecas</t>
  </si>
  <si>
    <t>ESTAMPILLA PRO CULTURA</t>
  </si>
  <si>
    <t>Estampillas Pro - Cultuta Bibliotecas</t>
  </si>
  <si>
    <t>DIRECTOR DE CULTURA ARTE Y PATRIMONIO</t>
  </si>
  <si>
    <t xml:space="preserve"> JAMES GONZALEZ MATA SECRETARIO DE CULTUR</t>
  </si>
  <si>
    <t>Incrementar la formacion de promotores de lectura y escritura del departamento</t>
  </si>
  <si>
    <t>Formacion de promotores de lectura y escritura</t>
  </si>
  <si>
    <t>Fortalecer la promocion, difusion y circulacion de la lectura y escritura</t>
  </si>
  <si>
    <t xml:space="preserve">Promocion, difusion y circulacion </t>
  </si>
  <si>
    <t>PATRIMONIO, PAISAJE CULTURAL CAFETERO Y DIVERSIDAD CULTURAL</t>
  </si>
  <si>
    <t>VIVIENDO EL PAISAJE CULTURAL CAFETERO</t>
  </si>
  <si>
    <t xml:space="preserve">Apoyar treinta y dos (32) proyectos y/o actividades en gestión, investigación,  protección, divulgación y salvaguardia del patrimonio y diversidad cultural </t>
  </si>
  <si>
    <t>Nro de proyectos apoyados</t>
  </si>
  <si>
    <t>0310 - 5 - 3 1 3 10 32 5 49 - 109</t>
  </si>
  <si>
    <t xml:space="preserve"> Apoyo al reconocimiento, apropiación, salvaguardia y difusión del patrimonio cultural en todo el Departamento del Quindío.</t>
  </si>
  <si>
    <t>Valorar, apropiar y salvaguardar el Patrimonio cultural de los Quindianos, mediante el estimulo a la transmision de saberes y conocimientos a las nuevas generaciones como factor dinamizador del desarrollo del Quindío</t>
  </si>
  <si>
    <t>Implementar programas y proyectos para conservación, protección, salvaguardia, y difusión del Patrimonio Cultural</t>
  </si>
  <si>
    <t>Apoyo a actividades y proyectos del Patrimonio Cultural</t>
  </si>
  <si>
    <t>REINTEGRO  IVA TELEFONIA MOVIL CULTURA</t>
  </si>
  <si>
    <t>JAMES GONZALEZ MATA SECRETARIO DE CULTURA</t>
  </si>
  <si>
    <t xml:space="preserve"> 0310 - 5 - 1 3 42 35 13 - 20 / 0310-5-31310-32-5-49-20</t>
  </si>
  <si>
    <t xml:space="preserve">  0310 - 5 - 3 1 3 10 32 5 49 - 93 </t>
  </si>
  <si>
    <t>Aumento del número de proyectos  para conservar los atributos excepcionales del PCC y mayor liderazgo del sector cultural</t>
  </si>
  <si>
    <t>Apoyo a proyectos para el PCC</t>
  </si>
  <si>
    <t>SUPERAVIT IVA TELEFONIA MOVIL CULTURA</t>
  </si>
  <si>
    <t xml:space="preserve">  0310 - 5 - 3 1 3 10 32 5 49 - 47  </t>
  </si>
  <si>
    <t>Formación de actores, gestores,  funcionarios y NNJA de instituciones educativas en los temas del patrimonio cultural</t>
  </si>
  <si>
    <t>Formacion en patrimonio cultural</t>
  </si>
  <si>
    <t xml:space="preserve"> IVA TELEFONIA MOVIL CULTURA</t>
  </si>
  <si>
    <t>Generar espacios para el diálogo intercultural</t>
  </si>
  <si>
    <t>Diversidad poblacional y cultural</t>
  </si>
  <si>
    <t>COMUNICACIÓN, CIUDADANIA Y SISTEMA DEPARTAMENTAL DE CULTURA</t>
  </si>
  <si>
    <t xml:space="preserve">Apoyar diez (10) proyectos y/o actividades orientados a fortalecer la articulación comunicación y cultura </t>
  </si>
  <si>
    <t>0310 - 5 - 3 1 3 10 33 5 50 - 20</t>
  </si>
  <si>
    <t xml:space="preserve">  Fortalecimiento de la comunicación, la ciudadanía  y el sistema departamental de cultura  en el Quindio.</t>
  </si>
  <si>
    <t>Incrementar las iniciativas que integren comunicación y cultura, que contribuyan al fortalecimiento del Sistema Departamental de Cultura.</t>
  </si>
  <si>
    <t>Fortalecimiento del Sistema Departamental de Cultura</t>
  </si>
  <si>
    <t>Comunicación y cultura</t>
  </si>
  <si>
    <t xml:space="preserve">ordinario </t>
  </si>
  <si>
    <t>PROFESIONAL UNIVERSITARIO</t>
  </si>
  <si>
    <t>Apoyar  dieciséis (16) actividades y/o proyectos  para el afianzamiento del Sistema Departamental de Cultura</t>
  </si>
  <si>
    <t>Nro. De actividades y/o proyectos de afianzamiento apoyados</t>
  </si>
  <si>
    <t>Fortalecimiento de los  medios ciudadanos, comunitarios y de interés público</t>
  </si>
  <si>
    <t>Sistema departamental de cultura</t>
  </si>
  <si>
    <t xml:space="preserve">DIRECTOR ADMINISTRATIVO Y FINANCIERO </t>
  </si>
  <si>
    <t>JAMES GONZALEZ MATA</t>
  </si>
  <si>
    <t xml:space="preserve"> SECRETARIO DE CULTURA</t>
  </si>
  <si>
    <t>ACTIVIDADES CUANTIFICADAS
2016</t>
  </si>
  <si>
    <t>PROSPERIDAD CON EQUIDAD</t>
  </si>
  <si>
    <t>.</t>
  </si>
  <si>
    <t>Quindío rural, inteligente, competitivo y empresarial</t>
  </si>
  <si>
    <t>Quindío Prospero y productivo</t>
  </si>
  <si>
    <t xml:space="preserve">Crear (1) y fortalecer (3) rutas competitivas </t>
  </si>
  <si>
    <t>0311 - 5 - 3 1 2 2 8 13 51 - 20</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</si>
  <si>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</si>
  <si>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</si>
  <si>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Creación (1) y fortalecimiento (3) de rutas competitivas </t>
  </si>
  <si>
    <t xml:space="preserve">Identificar la metodologia para crear la ruta competitiva y apoyar el fortalecimeinto de las rutas existentes  </t>
  </si>
  <si>
    <t>72.224</t>
  </si>
  <si>
    <t>27.477</t>
  </si>
  <si>
    <t>86.843</t>
  </si>
  <si>
    <t>236.429</t>
  </si>
  <si>
    <t>81.384</t>
  </si>
  <si>
    <t>Contrato No. 803</t>
  </si>
  <si>
    <t>Juan José Botero Villa. Director de Emprendimiento y Competitividad</t>
  </si>
  <si>
    <t>15/08/16</t>
  </si>
  <si>
    <t>09/09/16</t>
  </si>
  <si>
    <t>08/12/16</t>
  </si>
  <si>
    <t>Carlos Alfonso Rodriguez Orozco  - Secretaria de Turismo, Industria y Comercio.</t>
  </si>
  <si>
    <t>Conformar e implementar (3) tres clúster priorizados en el Plan de Competitividad</t>
  </si>
  <si>
    <t xml:space="preserve">Conformación e implementación de tres (3) cluster </t>
  </si>
  <si>
    <t>Identificar la metodologia para el desarrollo de las iniciativas  cluster y desarrollar su primera fase</t>
  </si>
  <si>
    <t>Contrato No.739</t>
  </si>
  <si>
    <t>06/09/16</t>
  </si>
  <si>
    <t>16/12/16</t>
  </si>
  <si>
    <t xml:space="preserve">Diseño, formulación y puesta en marcha del Centro  para el desarrollo y el  fortalecimiento de la investigación, tecnología,  Ciencia e Innovación .    </t>
  </si>
  <si>
    <t>0311 - 5 - 3 1 2 2 8 13 52 - 20</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</si>
  <si>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</si>
  <si>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</si>
  <si>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</si>
  <si>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Apoyar la elaboracion del plan de accion del Centro  para el desarrollo y el  fortalecimiento de la investigación, tecnología,  Ciencia e Innovación .    </t>
  </si>
  <si>
    <t xml:space="preserve">Apoyar la formulación del proyecto: Red de conocimiento de agro negocios del departamento </t>
  </si>
  <si>
    <t xml:space="preserve">Apoyar las actividades requeridas para la formulacion  y ejecucion del proyecto red  de conocimiento de agronegocios </t>
  </si>
  <si>
    <t>Contrato No.806
(Cancelado bilateralmente)</t>
  </si>
  <si>
    <t xml:space="preserve">Diseñar y fortalecer un proyecto de I+D+I </t>
  </si>
  <si>
    <t>Desarrollar el documento correspondiente al  diseño  y fortalecimiento de la segunda fase del proyecto I+D+I</t>
  </si>
  <si>
    <t>Contrato No. 1294 de 2016</t>
  </si>
  <si>
    <t>Hacia el Emprendimiento, Empresarismo, asociatividad y generación de empleo en el Departamento del Quindío</t>
  </si>
  <si>
    <t>Apoyar a doce (12) unidades de emprendimiento para jóvenes emprendedores.</t>
  </si>
  <si>
    <t xml:space="preserve">0311 - 5 - 3 1 2 2 9 13 53 - 20  </t>
  </si>
  <si>
    <t>Apoyo al emprendimiento, empresarismo, asociatividad y generación de empleo en el departamento del Quindio</t>
  </si>
  <si>
    <t>Mejoramiento de los niveles de emprendimiento, empresarismo y asociatividad en el departamento del Quindio</t>
  </si>
  <si>
    <t>Apoyar la existencia de un ecosistema regional de emprendimiento en el departamento del Quindío, a traves de la elaboración de una propuesta de alianzas estratégicas.</t>
  </si>
  <si>
    <t>Apoyar tres unidades de emprendimiento para jóvenes emprendedores</t>
  </si>
  <si>
    <t>Contrato No. 709</t>
  </si>
  <si>
    <t>Diana Marcela Martinez Correa
Directora de Industria y Comercio</t>
  </si>
  <si>
    <t xml:space="preserve">Diseñar un ecosistema Regional de Emprendimiento y Asociatividad  </t>
  </si>
  <si>
    <t>Diseñar  la estructura del  ecosistema regional de emprendimiento y asociatividad en el Departamento del Quindio.</t>
  </si>
  <si>
    <t>Convenio 043 de 2016</t>
  </si>
  <si>
    <t>Contrato No. 1256 de 2016</t>
  </si>
  <si>
    <t>Contrato No. 1280</t>
  </si>
  <si>
    <t>Apoyar   doce (12) Unidades de emprendimiento de grupos poblacionales con enfoque diferencial.</t>
  </si>
  <si>
    <t>Apoyar tres unidades de emprendimiento de grupos poblacionales con enfoque diferencial</t>
  </si>
  <si>
    <t>Contrato No. 775</t>
  </si>
  <si>
    <t>Implementar un programa de gesiton financiera para el desarrollo de emprendimiento, empresarismo y asociatividad</t>
  </si>
  <si>
    <t xml:space="preserve">  0311 - 5 - 3 1 2 2 9 13 53 - 88</t>
  </si>
  <si>
    <t>Apoyar con recursos financieros el fortalecimiento del emprendimiento, empresarismo y asociatividad en el departamento del Quindío</t>
  </si>
  <si>
    <t xml:space="preserve"> Convenio con una entidad financiera  para el fortalecimiento del emprendimiento, empresarismo y asociatividad</t>
  </si>
  <si>
    <t>Convenio de asociación</t>
  </si>
  <si>
    <t>ordinario 88</t>
  </si>
  <si>
    <t>Diana Marcela Martinez Correa</t>
  </si>
  <si>
    <t>Quindío Sin Fronteras</t>
  </si>
  <si>
    <t>Fortalecer  doce (12) empresas en procesos internos y externos para la apertura a mercados regionales, nacionales e internacionales</t>
  </si>
  <si>
    <t xml:space="preserve">No. </t>
  </si>
  <si>
    <t>0311 - 5 - 1 13 78 82 101 - 20</t>
  </si>
  <si>
    <t>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</si>
  <si>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</si>
  <si>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Fortalecer esquemas colaborativos en los municipios del departamento.</t>
  </si>
  <si>
    <t>asistemcia a  grupos asociativos en temas organizacionales y productivos</t>
  </si>
  <si>
    <t>cps 437-467-424</t>
  </si>
  <si>
    <t>Juan José Botero Villa</t>
  </si>
  <si>
    <t>Apoyar programas de financiamiento a las mipymes</t>
  </si>
  <si>
    <t>gestión para la inversión</t>
  </si>
  <si>
    <t>Acompañar a empresas en temas de certificación en calidad</t>
  </si>
  <si>
    <t>asistencia tecnica en procesos de certificación</t>
  </si>
  <si>
    <t>Apoyar a los microempresarios del departamento con diferentes capacitaciones en temas empresariales</t>
  </si>
  <si>
    <t xml:space="preserve">capacitar a en temas realcionados con mejoramiento productivo y acceso a mercados </t>
  </si>
  <si>
    <t>Sensiblizar a los empresarios a cerca de la necesidad e importancia de la certificación</t>
  </si>
  <si>
    <t>programar y llevar a cabo jornadas de sencibilización relacionadas con la certificación en calidad</t>
  </si>
  <si>
    <t>Promover actividades que permitan el fortalecimiento de las cadenas productivas</t>
  </si>
  <si>
    <t xml:space="preserve">desarrollar cronográma de actividades y su agenda. con los actores de las cadenas productivas </t>
  </si>
  <si>
    <t>0311 - 5 - 1 13 80 84 103 - 20</t>
  </si>
  <si>
    <t xml:space="preserve"> Implementación de estrategias de exportaciones para el Departamento del Quindío</t>
  </si>
  <si>
    <t>Generar herramientas para la promoción de las exportaciones del departamento del Quindío</t>
  </si>
  <si>
    <t>Mejorar la capacidad exportadora de los empresarios</t>
  </si>
  <si>
    <t>brindar asistencia técnica basada en el acceso a mercados globales</t>
  </si>
  <si>
    <t>cps 437</t>
  </si>
  <si>
    <t>Acompañamiento técnico a los empresarios en temas de exportación</t>
  </si>
  <si>
    <t xml:space="preserve">brindar asistencia técnica </t>
  </si>
  <si>
    <t>Intercambio de conocimiento entre empresarios</t>
  </si>
  <si>
    <t>generar espacos de intercambio de experiencias y conocimientos</t>
  </si>
  <si>
    <t>Direccionamiento institucional con énfasis en exportaciones</t>
  </si>
  <si>
    <t xml:space="preserve">realizar enlaces con instituciones o entidades relacionadas con los procesos de exportación </t>
  </si>
  <si>
    <t>0311 - 5 - 3 1 2 2 10 13 56 - 20</t>
  </si>
  <si>
    <t xml:space="preserve">56. 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</si>
  <si>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</si>
  <si>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</si>
  <si>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 las actividades para el fortalecimiento de las empresas  en procesos internos y/o externos para apertura a mercados regionales, nacionales e internacionales</t>
  </si>
  <si>
    <t>Contrato No.713</t>
  </si>
  <si>
    <t>15/08/2016</t>
  </si>
  <si>
    <t>12/09/16</t>
  </si>
  <si>
    <t xml:space="preserve"> 31/12/2016</t>
  </si>
  <si>
    <t>20/12/16</t>
  </si>
  <si>
    <t>Convenio 037 de 2016</t>
  </si>
  <si>
    <t>15/08/2017</t>
  </si>
  <si>
    <t>Convenio 051de 2016</t>
  </si>
  <si>
    <t>contrato 1281 de 2016</t>
  </si>
  <si>
    <t>Contrato 1356 de 2016</t>
  </si>
  <si>
    <t>Constituir e implementar una agencia de inversión empresarial</t>
  </si>
  <si>
    <t>Fortalecimiento de mecanismos de inversion y de herramientas tecnologicas de servicios logisticos en el sector empresarial para su conexión a mercados globales</t>
  </si>
  <si>
    <t>Apoyo a la creacion de alianzas estrategicas para la constitucion de una agencia de inversion empresarial</t>
  </si>
  <si>
    <t>Contrato No.730</t>
  </si>
  <si>
    <t>Juan David Pachón Morales
Director Turismo, Cluster y Asociatividad</t>
  </si>
  <si>
    <t>02/09/16</t>
  </si>
  <si>
    <t>01/11/16</t>
  </si>
  <si>
    <t>Diseñar la  plataforma de servicios logísticos nacionales e internacionales tendiente a lograr del departamento un centro de articulación de occidente</t>
  </si>
  <si>
    <t>Apoyar  el  diseño de la plataforma de servicios logisticos nacionales e internacionales</t>
  </si>
  <si>
    <t>Contrato No. 782</t>
  </si>
  <si>
    <t>05/12/16</t>
  </si>
  <si>
    <t>QUINDIO POTENCIA TURISTICA DE NATURALEZA Y DIVERSION</t>
  </si>
  <si>
    <t xml:space="preserve">Fortalecimiento de la oferta de productos y atractivos turísticos </t>
  </si>
  <si>
    <t>Diseñar, crear y/o fortalecer 15 Productos turísticos para ser ofertados</t>
  </si>
  <si>
    <t>0311 - 5 - 1 14 81 87 108 - 20</t>
  </si>
  <si>
    <t>Consolidación de productos turísticos en todo el Departamento, Quindío, Occidente.</t>
  </si>
  <si>
    <t>Apoyar la consolidación de productos turísticos del departamento del Quindío</t>
  </si>
  <si>
    <t>Realizar acciones tendientes  a la consolidación de productos turísticos en el departamento del Quindío</t>
  </si>
  <si>
    <t>desarrollar estratégias para la consolidación de productos turísticos</t>
  </si>
  <si>
    <t>conv interadministrativo 015</t>
  </si>
  <si>
    <t>Rocío Acosta Jiménez</t>
  </si>
  <si>
    <t>0311 - 5 - 1 14 83 93 114 - 20</t>
  </si>
  <si>
    <t>Apoyo a actividades en las diferentes modalidades del turísmo en todo el Departamento, Quindío, Occidente.</t>
  </si>
  <si>
    <t>Apoyar actividades en las diferentes modalidades de turismo que permitan un desarrollo continuo del destino Quindío.</t>
  </si>
  <si>
    <t>Apoyar el desarrollo de actividades ambientales, culturales, recreativas, entre otras que promuevan el turismo en el departamento del Quindío</t>
  </si>
  <si>
    <t>desarrollar Campañas de publicidad y promoción</t>
  </si>
  <si>
    <t>Desarrollar procesos ambientales que contribuyan a la sostenibilidad turistica del departamento.</t>
  </si>
  <si>
    <t>desarrollar estratégias de sencibilización y sostenibiliad turística</t>
  </si>
  <si>
    <t xml:space="preserve">0311 - 5 - 3 1 2 3 11 13 59 - 20  </t>
  </si>
  <si>
    <t>Fortalecimiento de la oferta de prestadores de servicos, productos y atractivos turísticos en el Departamento del Quindío.</t>
  </si>
  <si>
    <t>Fortalecimiento del posicionamiento del departamento del Quindío como destino turistico en Colombia.</t>
  </si>
  <si>
    <t>Mejorar el nivel de fortalecimiento y diseño de nuevos productos turísticos en el departamento del Quindío.</t>
  </si>
  <si>
    <t>Diseñar y poner en marcha dos productos turisticos de naturaleza</t>
  </si>
  <si>
    <t xml:space="preserve">Recurso Ordinario </t>
  </si>
  <si>
    <t>Contrato No. 790</t>
  </si>
  <si>
    <t>Oedinario 
Otros (Iva telefonía móvil y registro)</t>
  </si>
  <si>
    <t>Cotrato No. 684</t>
  </si>
  <si>
    <t xml:space="preserve">Oedinario 
</t>
  </si>
  <si>
    <t>Contrato No. 845</t>
  </si>
  <si>
    <t xml:space="preserve">Ordinario 
</t>
  </si>
  <si>
    <t>Adición cps 483</t>
  </si>
  <si>
    <t xml:space="preserve">  0311 - 5 - 3 1 2 3 11 13 59 - 52</t>
  </si>
  <si>
    <t>Adición convenio 043</t>
  </si>
  <si>
    <t>Otros (Iva telefonía móvil y registro)</t>
  </si>
  <si>
    <t>Mejoramiento de la competitividad del Quindío como destino turístico</t>
  </si>
  <si>
    <t>Gestionar y ejecutar (3) proyectos para mejorar la competitividad del Quindío como destino turístico</t>
  </si>
  <si>
    <t xml:space="preserve">0311 - 5 - 3 1 2 3 12 13 60 - 20 </t>
  </si>
  <si>
    <t>Apoyo a la competitividad  como destino turístico en el Departamento del Quindío.</t>
  </si>
  <si>
    <t>Mejorar el nivel de competitividad de las empresas prestadoras de servicios turisticos en el departamento del Quindio</t>
  </si>
  <si>
    <t>Mejoramiento del nivel de gestion de recursos para proyectos de competitividad del destino turistico</t>
  </si>
  <si>
    <t>Apoyo al diseño de la conformación de los cluster de Turismo de Naturaleza, MICE y Salud</t>
  </si>
  <si>
    <t>Contrato No. 743</t>
  </si>
  <si>
    <t>06/09/216</t>
  </si>
  <si>
    <t>31/12/2016</t>
  </si>
  <si>
    <t>16/12/2016</t>
  </si>
  <si>
    <t>Contrato No. 816</t>
  </si>
  <si>
    <t>12/09/2016</t>
  </si>
  <si>
    <t>20/12/2016</t>
  </si>
  <si>
    <t>Apoyo a Actualizacion del Plan Decenal de Turismo</t>
  </si>
  <si>
    <t>Contrato No. 828</t>
  </si>
  <si>
    <t>14/09/2016</t>
  </si>
  <si>
    <t>24/12/2016</t>
  </si>
  <si>
    <t>Rediseño y ajuste al programa Haciendas del Café</t>
  </si>
  <si>
    <t xml:space="preserve"> otros (IVA, Telefonia movil, registro)</t>
  </si>
  <si>
    <t>Contrato No. 827</t>
  </si>
  <si>
    <t xml:space="preserve"> 0311 - 5 - 3 1 2 3 12 13 60 - 52</t>
  </si>
  <si>
    <t>Apoyo para la capacitación en planeación, diseño y venta de productos turisticos a operadores receptivos</t>
  </si>
  <si>
    <t>Contrato No. 831</t>
  </si>
  <si>
    <t>21/12/2016</t>
  </si>
  <si>
    <t>Adición convenio 044</t>
  </si>
  <si>
    <t>Acciones de trabajo contra Informalidad, Prevención del ESCNNA y de Turismo Responsable</t>
  </si>
  <si>
    <t>Contrato No. 922</t>
  </si>
  <si>
    <t>27/09/2016</t>
  </si>
  <si>
    <t>22/12/2016</t>
  </si>
  <si>
    <t>0311 - 5 - 1 14 83 92 113 - 20</t>
  </si>
  <si>
    <t>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</si>
  <si>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</si>
  <si>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 xml:space="preserve">Apoyar a las cadenas productivas del turismo y actores involucrados </t>
  </si>
  <si>
    <t>diseñar programa de trabajo y cronogama de actividades</t>
  </si>
  <si>
    <t>cps 427</t>
  </si>
  <si>
    <t>Juan David Pachón Morales</t>
  </si>
  <si>
    <t>Capacitar y asesorar a los sectores involucrados con la cadena productiva del turismo y en la elaboración e implementación de planes de negocio</t>
  </si>
  <si>
    <t xml:space="preserve">asistencia técnica para el diseño e implementación de  planes de negocios turísticos </t>
  </si>
  <si>
    <t>Promoción nacional e internacional del departamento como destino turístico</t>
  </si>
  <si>
    <t>Construcción del Plan de Mercadeo Turístico</t>
  </si>
  <si>
    <t>0311 - 5 - 3 1 2 3 13 13 62 - 52</t>
  </si>
  <si>
    <t>Apoyo a la promoción nacional e internacional como destino  turístico del Departamento del Quindío.</t>
  </si>
  <si>
    <t>Mejorar el nivel de impacto de las acciones de "Promocion del destino turistico del departamento del Quindio"</t>
  </si>
  <si>
    <t>Incrementar el nivel de impacto de las acciones de promocion de los productos turisticos</t>
  </si>
  <si>
    <t>Diseño de material para la promocion del Quindio como destino turistico</t>
  </si>
  <si>
    <t>20-52</t>
  </si>
  <si>
    <t>Recurso Ordinario-Otros (IVA, Telefonia movil, registro)</t>
  </si>
  <si>
    <t>Contrato No. 704</t>
  </si>
  <si>
    <t>100</t>
  </si>
  <si>
    <t>31/10/2013</t>
  </si>
  <si>
    <t>Dar a conocer la oferta de productos turisticos especializados atraves de campañas en medios</t>
  </si>
  <si>
    <t xml:space="preserve">convenio de asociación </t>
  </si>
  <si>
    <t>cps 736</t>
  </si>
  <si>
    <t>Promocion de productos turisticos  en mercados nacionales e internacionales</t>
  </si>
  <si>
    <t>cps 761</t>
  </si>
  <si>
    <t>Incrementar el nivel de impacto de las acciones de mercadeo de los productos turisticos</t>
  </si>
  <si>
    <t>Apoyo para la elaboracion de la propuesta de trabajo para la construccion e implementacion del Plan de Mercadeo Turistico</t>
  </si>
  <si>
    <t>contato ps No.1232</t>
  </si>
  <si>
    <t>Carlos Alfonso Rodíguez Orozco</t>
  </si>
  <si>
    <t>Adición convenio 015 de 2016</t>
  </si>
  <si>
    <t>contato ps No. 1214</t>
  </si>
  <si>
    <t>0311 - 5 - 1 14 81 86 107 - 20</t>
  </si>
  <si>
    <t>Fortalecimiento de la promoción del destino a nivel nacional e internacional en todo El Departamento, Quindío, Occidente.</t>
  </si>
  <si>
    <t>Fortalecer la promoción del destino en el territorio nacional e internacional con el fin de aumentar el flujo de turistas que llegan al departamento en el año 2016.</t>
  </si>
  <si>
    <t xml:space="preserve">Diseñar estrategias promocionales en el territorio nacional e internacional </t>
  </si>
  <si>
    <t>diseñar estrategias de promoción turistica del destino quindío</t>
  </si>
  <si>
    <t>convenio interinstitucional 001</t>
  </si>
  <si>
    <t>Formular y ejecutar proyectos para la consecución de recursos que ayuden a la promoción nacional e internacional del Quindío</t>
  </si>
  <si>
    <t>Asistencia técnica para el diseño de proyectos</t>
  </si>
  <si>
    <t>convenio interadministrativo 015</t>
  </si>
  <si>
    <t xml:space="preserve">Ordinario </t>
  </si>
  <si>
    <t>Desarrollar estrategias promocionales en el territorio nacional e internacional</t>
  </si>
  <si>
    <t>Difusión de la oferta de productos turisticos especializados atraves de campañas en medios</t>
  </si>
  <si>
    <t>contrato de arrendamiento 013</t>
  </si>
  <si>
    <t>CARLOS ALFONSO RODRIGUEZ  OROZCO</t>
  </si>
  <si>
    <t>SECRETARIO DE TURISMO, INDUSTRIA Y COMERCIO</t>
  </si>
  <si>
    <t>Quindío territorio vital</t>
  </si>
  <si>
    <t>Generación de entornos favorables y sostenibilidad ambiental</t>
  </si>
  <si>
    <t xml:space="preserve">Implementar un (1)  Sistema de Gestión Ambiental Departamental SIGAD </t>
  </si>
  <si>
    <t>0312 - 5 - 3 1 1 1 1 10 64 - 20</t>
  </si>
  <si>
    <t xml:space="preserve"> 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</si>
  <si>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</si>
  <si>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 xml:space="preserve">Implementar sistemas de gestión ambiental a traves de la fomentacion de las buenas prácticas ambientales en el departamento
</t>
  </si>
  <si>
    <t>Implementar un sistema de gestión ambiental SIGAD</t>
  </si>
  <si>
    <t>8808</t>
  </si>
  <si>
    <t>CARLOS ALBERTO SOTO RAVE SECRETARIO DE AGRICULTURA, DESARROLLO RURAL Y MEDIO AMBIENTE</t>
  </si>
  <si>
    <t xml:space="preserve">Apoyar cuatro (4) planes de manejo de áreas protegidas del departamento </t>
  </si>
  <si>
    <t xml:space="preserve">Apoyar el plan departamental para la gestion integral de la biodiversidad a traves el acompañamiento de personal calificado.
</t>
  </si>
  <si>
    <t>Elaborar, revisar, capacita citar , asistencia técnica, seguimiento y evaluación de planes de manejo ambiental</t>
  </si>
  <si>
    <t xml:space="preserve">Apoyar el Plan Departamental  para la Gestión Integral de la Biodiversidad y sus Servicios Ecosistémicos PDGIB 2013-2024  </t>
  </si>
  <si>
    <t>0.9</t>
  </si>
  <si>
    <t>Apoyar los controles  de vigilancia para  el buen uso de los recursos naturales a traves del acompañamiento con los entes de control ambiental y los municipios</t>
  </si>
  <si>
    <t>Apoyar el plan departamental para la gestión integral de la biodiversidad y sus servicios ambientales</t>
  </si>
  <si>
    <t>LUZ AIDA BARACALDO GALLEGO</t>
  </si>
  <si>
    <t xml:space="preserve">Apoyar a los doce (12) municipios en las acciones de control y vigilancia de la explotación minera en coordinación con la autoridad ambiental </t>
  </si>
  <si>
    <t xml:space="preserve">Apoyar planes de manejo de areas protegidas en del departamento a traves de la socializacion de dichos planes.
</t>
  </si>
  <si>
    <t xml:space="preserve">Apoyo a los municipios en acciones de control y vigilancia de la explotación minera en coordinación con la autoridad ambiental </t>
  </si>
  <si>
    <t xml:space="preserve">Desarrollar en (5) cinco de los sectores productivos del departamento, actividades de producción más limpia y Buenas Prácticas Ambientales (BPA) </t>
  </si>
  <si>
    <t>0312 - 5 - 1 18 96 119 93 - 20</t>
  </si>
  <si>
    <t xml:space="preserve">  Diseño de buenas practicas ambientales</t>
  </si>
  <si>
    <t>Incrementar el número de programas de Buenas Prácticas Ambientales a través del apoyo y acompañamiento a instituciones  y organizaciones propias del sector</t>
  </si>
  <si>
    <t>1. Difundir y Socializar las ventajas de la implementación de Buenas Prácticas Ambientales;2. Fortalecer las capacidades de los agricultores para el buen manejo de su finca y/o  proyecto productivo;3. Articulación entre las entidades del sector para implementar proyectos de Buenas Prácticas Ambientales con el apoyo y concurso de todos los involucrado</t>
  </si>
  <si>
    <t xml:space="preserve">Componente Tecnico </t>
  </si>
  <si>
    <t>0312 - 5 - 1 18 96 120 94 - 20</t>
  </si>
  <si>
    <t xml:space="preserve">  Apoyo a acuerdos de producción limpia y sostenible, en el sector productivo del Departamento del Quindío
 </t>
  </si>
  <si>
    <t xml:space="preserve"> Los Planes de Ordenamiento Territorial cuentan con los ejes estructurantes faciltando la identificación de los impactos ambientales por los sectores productivos y sustentabilidad ambiental para el buen desarrollo de las actividades economicas.</t>
  </si>
  <si>
    <t>Concertar con los muncipios las zonas de alto riesgo y amenza con el fin de generar alternativas de manejo y mitigación
Fortalecer por medio del asesoramiento tecnico la capacidad y prearación de los equipos de planeación y planificación de los municipios
Estructura medidas de mitigación de las actividades prodcutivas que generan un alto grado de transformación de la estructura del paisaje natural.
Aplicar correctamente las medidas de planificación ambiantal generadas por la coproración autonoma regional con el fin de porteger el entorno natural generador de bienes y servicios ambientales.
Pormover la incorporación de las determinantes ambientales en los PBOT ́s y EOT ́s de los municipios del departamento.</t>
  </si>
  <si>
    <t>Componente técnico</t>
  </si>
  <si>
    <t>Manejo integral del agua y saneamiento básico</t>
  </si>
  <si>
    <t>Caracterizar los servicios ecosistémicos en seis  (6) cuencas de abastecimiento de los acueductos municipales con sus correspondientes acciones de mejoramiento</t>
  </si>
  <si>
    <t>0312 - 5 - 3 1 1 1 2 10 67 - 20</t>
  </si>
  <si>
    <t>67. Gestón integral de cuencas hirdográficas en el Departamento del Quindío</t>
  </si>
  <si>
    <t xml:space="preserve">  Mantener  de la oferta hídrica promedio anual  de las Unidades de Manejo de Cuenca (UMC) del departamento del Quindío, a través procesos de consevación y mantenimiento de las areas de proytecció ambiental y  apoyo insterinsticuional de las instacias ambientales en el Departamento del Quindio 
</t>
  </si>
  <si>
    <t>Realizar el diagnostico de los servicios eco sistémicos de las cuencas de abastecimiento, a través de la elaboración del inventario, la adquisición de bienes y suministros y la logística en el departamento del Quindío</t>
  </si>
  <si>
    <t>Caracterización de los servicios ecosistémicos en cuencas de abastecimiento de los acueductos municipales con sus correspondientes acciones de mejoramiento</t>
  </si>
  <si>
    <t>CARLOS ALBERTO SOTO RAVE  SECRETARIO DE AGRICULTURA, DESARROLLO RURAL Y MEDIO AMBIENTE</t>
  </si>
  <si>
    <t xml:space="preserve">Crear e implementar el Fondo del Agua del departamento del Quindío  </t>
  </si>
  <si>
    <t>Crear e implementar el fondo del agua, a través de la construcción del modelo de participación y la socialización respectiva en el departamento del Quindío</t>
  </si>
  <si>
    <t>CREAR E IMPLEMENTAR EL FONDO DEL AGUA DEL DEPARTAMENTO DEL QUINDIO</t>
  </si>
  <si>
    <t>Bienes y servicios ambientales para las nuevas generaciones</t>
  </si>
  <si>
    <t xml:space="preserve">Conservar y restaurar seis (6) áreas de importancia estratégica para el recurso hídrico del departamento </t>
  </si>
  <si>
    <t>0312 - 5 - 3 1 1 1 3 10 68 - 20  /  0312 - 5 - 3 1 1 1 3 10 68 - 88  /  0312 - 5 - 1 18 94 115 89 - 20</t>
  </si>
  <si>
    <t xml:space="preserve">  Aplicación de mecanismos de protección ambiental en el Departamento del Quindío.</t>
  </si>
  <si>
    <t xml:space="preserve">1, Conservar y mantener las areas de protección del recursos hídrico del departamento en 6 areas  de importancia estrategica, a través de procesos de seguimiento, control y vigilancia, adecuación   en el departamento del Quindio 
2. Realizar trabajo insterinstiucional para el fortalecimiento del desarrollo social de la instancias de protección ambiental COMEDA, SIGAD. SIRAP, SIDAP, SIMAP en el departamento 
</t>
  </si>
  <si>
    <t xml:space="preserve">Personal técnico para el control , vigilancia y seguimiento a las áreas de protección </t>
  </si>
  <si>
    <t xml:space="preserve">Adquisición de material vegetal, herramientas, equipos etc., para los procesos de consevación de las areas de protección ambiental. </t>
  </si>
  <si>
    <t>Personal para los procesos de manteniemiento y restauración de las áreas de protección Personal</t>
  </si>
  <si>
    <t>Construccion, adecuación y conservación de cuarteles para la custodia de las herramientas, material, equipos, etc., en los predios donde se encuentran las áreas de protección</t>
  </si>
  <si>
    <t>Trabajo interinstitucional para el fortalecimiento del desarrollo social de las áreas de proteccion ( SIMAP, COMEDA, SIGAP)</t>
  </si>
  <si>
    <t>Conservar para la sostenibilidad ambiental dos (2) cuencas de los municipios con declaratoria de Paisaje Cultural Cafetero PCC</t>
  </si>
  <si>
    <t>0312 - 5 - 3 1 1 1 3 10 69 - 20</t>
  </si>
  <si>
    <t xml:space="preserve">  Fortalecimiento y potencialización de los servicios eco sistémicos en el departamento del Quindío</t>
  </si>
  <si>
    <t xml:space="preserve">Mantener la oferta hídrica promedio anual  de las Unidades de Manejo de Cuenca (UMC) del departamento del Quindío, a través procesos de consevación, restauracion y capacitacion para el mantenimiento de lo servicios ecosistemicos del departamento del Quindio
</t>
  </si>
  <si>
    <t>Conservar las cuencas de los municipios con declaratoria de paisaje cultural cafetero pcc mediante la implementación de herramientas del paisaje y otras estrategias</t>
  </si>
  <si>
    <t xml:space="preserve">Diagnostico y diseño de corredores de conservación </t>
  </si>
  <si>
    <t xml:space="preserve">Personal tecnico para la conservacion de las cuencas del paisaje cultural ambiental </t>
  </si>
  <si>
    <t xml:space="preserve">Trabajo interinstitucional para el fortalecimiento del desarrollo social de las áreas de proteccion </t>
  </si>
  <si>
    <t>Desarrollar treinta y un (31) estrategias de educación ambiental  en los espacios participativos, comunitarios y educativos del departamento</t>
  </si>
  <si>
    <t>Desarrollar estrategias para fortalecer las capacidades de educación ambiental en los espacios participativos, comunitarios y educativos del departamento con inclusión de las líneas estratégicas, de cultura del agua, cambio climático, gestión de riesgo, biodiversidad y paisaje cultural cafetero pcc.</t>
  </si>
  <si>
    <t>Desarrollar estrategias para fortalecer las capacidades de educación y multiplicador ambiental en los espacios participativos</t>
  </si>
  <si>
    <t>Capacitar a doscientos cincuenta (250)   jóvenes,  mujeres, población vulnerable y con enfoque diferencial como líderes ambientales en el departamento.</t>
  </si>
  <si>
    <t xml:space="preserve">Capacitar a jovenes mujeres, población vulnerable y con enfoque diferencial como lideres en educación ambiental y en la generación de hábitos y estilos de vida saludables y sostenibles.
</t>
  </si>
  <si>
    <t>Capacitar a jóvenes, mujeres por población vulnerable y con enfoque diferencial como líderes de educación ambiental</t>
  </si>
  <si>
    <t>0312 - 5 - 1 11 73 78 87 - 20</t>
  </si>
  <si>
    <t xml:space="preserve"> Fortalecimiento a la sostenibilidad productiva y ambiental del paisaje cultural cafetero en el Departamento del Quindío.</t>
  </si>
  <si>
    <t>Avanzar en un crecimiento sustentable que logre asegurar el uso apropiado del patrimonio natural y de los bienes y servicios que de él se generan, reduciendo la vulnerabilidad a los efectos negativos de la variabilidad climática y de los efectos antrópicos sobre el ambiente.</t>
  </si>
  <si>
    <t>Conservar las cuencas de los municipios con declaratoria de Paisaje Cultural Cafetero PCC mediante la implementación de herramientas del paisaje y otras estrategias</t>
  </si>
  <si>
    <t>Componente Ambiental</t>
  </si>
  <si>
    <t>0312 - 5 - 1 19 98 126 97 - 20</t>
  </si>
  <si>
    <t xml:space="preserve">  Apoyo al manejo y gestión sustentable del paisaje Departamento del Quindío.</t>
  </si>
  <si>
    <t>Disminución del deterioro paisaje Quindiano</t>
  </si>
  <si>
    <t xml:space="preserve">Apoyo técnico y acompañamiento a los municipios en la incorporación de calidad paisajística
fomentar la legalización de las actividades de pequeña minería y pequeña empresa en el departamento
apoyar la elaboración de documento técnico que contenga la cartografía departamental de los componentes del paisaje.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</si>
  <si>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</si>
  <si>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</si>
  <si>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</si>
  <si>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Fortalecimiento e innovación empresarial  de la caficultura en el Departamento del Quindio</t>
  </si>
  <si>
    <t>Mejorar la calidad de vida de las familias caficultores del departamento del Quindío, a través de la mejora de ingresos, procesos de formación y organización social, del mejoramiento de la calidad del café, con la realización de buenas prácticas agrícolas que permitan una caficultura sostenible y realizando cadenas de valor agregado que permitan resaltar el café de origen Quindío, en los mercados locales, naciones e internacionales</t>
  </si>
  <si>
    <t xml:space="preserve">Aumentar los caficultores con producción limpia y sostenible con producción de café y con taza limpia, a traves de capacitaciones 
</t>
  </si>
  <si>
    <t xml:space="preserve">Capacitacion a productores </t>
  </si>
  <si>
    <t>MARIA TERESA MENESES RAMIREZ</t>
  </si>
  <si>
    <t xml:space="preserve"> Realizar trabajo insterinstiucional para el mejoramiento de las practicas productivas sostenibles.</t>
  </si>
  <si>
    <t xml:space="preserve">Fortalecimiento institucional para el desarrollo social </t>
  </si>
  <si>
    <t>0312 - 5 - 1 11 73 77 86 - 20</t>
  </si>
  <si>
    <t xml:space="preserve"> Mejoramiento de la competitividad de la actividad cafetera, en el Departamento del Quindío.</t>
  </si>
  <si>
    <t xml:space="preserve"> Mejorar la competitvidad rural del departamento del Quindio por medio del fortalecimiento a las cadenas productivas, las lineas prodcutivas tradiconales y control fito y zoosanitario.</t>
  </si>
  <si>
    <t>Apoyar las lineas agropecuarias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</si>
  <si>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Emprendimiento y empleo rural</t>
  </si>
  <si>
    <t>Apoyar la formalización de empresas en cuatro (4)  sectores productivos agropecuarios del Departamento</t>
  </si>
  <si>
    <t>0312 - 5 - 3 1 2 2 6 13 75 - 20  /  0312 - 5 - 3 1 2 2 6 13 75 - 88</t>
  </si>
  <si>
    <t xml:space="preserve">Fomento al emprendimiento y  al empleo rural en el Departamento del Quindío  </t>
  </si>
  <si>
    <t xml:space="preserve"> Generar las  condiciones para aumentar  crecimiento del PIB del departamento  del Quindio a frente al PIB Nacional </t>
  </si>
  <si>
    <t xml:space="preserve"> 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</si>
  <si>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a la formulación de empresas en los sectores productivos sgropecuarios del Departamento</t>
  </si>
  <si>
    <t>ANA MARIA CARDONA VALDEZ</t>
  </si>
  <si>
    <t>Generar un apalancamiento a 100  iniciativas productivas rurales</t>
  </si>
  <si>
    <r>
      <t xml:space="preserve"> Realizar apálacamiento a las iniciativas productivas rurales, a través  de  procesos de acompañamiento  a la consolidación de  ideas de negocio e  implementación de garantias complementarias para el facilitar el acceso a la diferentes fuentes financiación </t>
    </r>
    <r>
      <rPr>
        <sz val="11"/>
        <color theme="1"/>
        <rFont val="Arial"/>
        <family val="2"/>
      </rPr>
      <t xml:space="preserve">con el fin de contribuir a generar condiciones para  aumentar   producto interno bruto  el departamento   durante la vigencia 2016 </t>
    </r>
  </si>
  <si>
    <t>Apalancamiento  a iniciativas producctivas rurales: identificación, análisis y viabilización de proyectos</t>
  </si>
  <si>
    <t xml:space="preserve">Capacitar mil doscientos (1200)  jóvenes y mujeres rurales en actividades agrícolas y no agrícolas </t>
  </si>
  <si>
    <t>Acompañamiento financiero  y fortalecimiento de la iniciativa a emprender  y apoyo a ideas de negocios</t>
  </si>
  <si>
    <t>Beneficiar a  dos mil cuatrocientas  (2400) mujeres rurales campesinas, personas en condición de vulnerabilidad y con enfoque diferencial en formación para el trabajo y el desarrollo humano</t>
  </si>
  <si>
    <r>
      <t xml:space="preserve">Capacitar a jóvenes y mujeres en actividadeas agricolas y no agricolas con procesois de seguimiento y evaluación  en la generación de ideas y/o consolidación de negocios </t>
    </r>
    <r>
      <rPr>
        <sz val="11"/>
        <color theme="1"/>
        <rFont val="Arial"/>
        <family val="2"/>
      </rPr>
      <t xml:space="preserve">con el fin de contribuir a generar condiciones para  aumentar   producto interno bruto  el departamento   durante la vigencia 2016 </t>
    </r>
  </si>
  <si>
    <t>Capacitación a jóvenes y mujeres rurales en actividades agrícolas y no agrícolas . Formación para el trabajo y desarrollo Humano</t>
  </si>
  <si>
    <t>0312 - 5 - 1 11 72 73 82 - 20</t>
  </si>
  <si>
    <t>Fortalecimiento de la Planeación Territorial en el Desarrollo Rural en el Departamento del Quindío</t>
  </si>
  <si>
    <t>Implementar Instrumentos de planificación desarrollados para la promoción del desarrollo rural en el departamento aplicandolos de forma eficaz en los municipios para lograr la consolidación de esquemas competitivos de producción sostenible.</t>
  </si>
  <si>
    <t>Fomentar la adopción del plan Estratégico de Desarrollo Rural por los municipios y la reactivación de los CMDRs y el CONSEA Mantenimiento y actualización de lal información del EVA/SIG de los municipios del Departamento</t>
  </si>
  <si>
    <t>Impulso a la competitividad productiva y empresarial del sector Rural</t>
  </si>
  <si>
    <t>Apoyar (5) cinco sectores productivos del Departamento en ruedas de negocio</t>
  </si>
  <si>
    <t xml:space="preserve"> 0312 - 5 - 3 1 2 2 7 13 78 - 88/ 0312 - 5 - 3 1 2 2 7 13 78 - 20</t>
  </si>
  <si>
    <t>Fortalecimiento a la competitividad productiva y empresarial del sector rural en el departamento del Quindio</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</si>
  <si>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</si>
  <si>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 xml:space="preserve"> IMPULSAR LA COMPETITIVIDAD PRODUCTIVA Y EMPRESARIAL DEL SECTOR RURAL, APOYANDO SECTORES PRODUCTIVOS DEL DEPARTAMENTO EN RUEDAS DE NEGOCIO</t>
  </si>
  <si>
    <t>identificacion de actores a capacitar y logistica del evento</t>
  </si>
  <si>
    <t>88/ 20</t>
  </si>
  <si>
    <t xml:space="preserve">04/10/2016
</t>
  </si>
  <si>
    <t>Realizar (3) tres eventos  de capacitación para acceder a mercados internacionales</t>
  </si>
  <si>
    <t>Capacitar al sector empresarial rural para el acceso a mercados internacionales.</t>
  </si>
  <si>
    <t>Identificacion y vinculacion de actores y logistica para las ruedas de negocio</t>
  </si>
  <si>
    <t>0312 - 5 - 1 11 72 74 83 - 20  /  0312 - 5 - 1 11 72 74 83 - 88</t>
  </si>
  <si>
    <t xml:space="preserve"> Mejoramiento de la Competitividad Rural en el Departamento del Quindio</t>
  </si>
  <si>
    <t>Apoyar las lineas agrpecuarias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</si>
  <si>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20-88</t>
  </si>
  <si>
    <t>20 -  88</t>
  </si>
  <si>
    <t xml:space="preserve"> 0312 - 5 - 1 11 72 75 84 - 20</t>
  </si>
  <si>
    <t>Mejoramiento de la producción agropecuaria sostenible, en el Departamento del Quindío.</t>
  </si>
  <si>
    <t>Fomento a la Agricultura Familiar Campesina, agricultura urbana y mercados campesinos para la soberanía y  Seguridad alimentaria</t>
  </si>
  <si>
    <t>Diseñar e implementar un (1) programa de agricultura familiar campesina</t>
  </si>
  <si>
    <t>0312 - 5 - 3 1 3 11 34 8 79 - 20</t>
  </si>
  <si>
    <t>Fomento a la agricultura familiar , urbana y  mercados campesinos para la soberanía y  Seguridad alimentaria en el Departamento del Quindio.</t>
  </si>
  <si>
    <t xml:space="preserve">AUMENTAR LA PRODUCCION DE FRUTAS Y VERDURAS PARA EL AUTOCONSUMO DEL DEPARTAMENTO DEL QUINDIO A TRAVEZ DE LA IMPLEMENTACION DE UN SISTEMA DE PARCELAS CAMPESINAS Y COMERCIO DE EXCEDENTES
</t>
  </si>
  <si>
    <t xml:space="preserve"> DISEÑAR E IMPLEMENTAR EL PROGRAMA DE AGRICULTURA FAMILIAR CAMPESINA PARA FORTALECER LA CANASTA FAMILIAR CON PRODUCTOS COMO FUTAS Y VERDURAS QUE ESTAN SIENDO IMPORTADA DE OTROS DEPARTAMENTOS</t>
  </si>
  <si>
    <t xml:space="preserve">Diseñar e implementar el programa de agricultura familiar campesina </t>
  </si>
  <si>
    <t>CARLOS ALBERTO GÓMEZ CHACÓN SECRETARIO DE AGRICULTURA, DESARROLLO RURAL Y MEDIO AMBIENTE</t>
  </si>
  <si>
    <t>Comprar los insumos agrícolas y pecuarios para la implementación de las parcelas campesinas, las que contribuiran a la produccion necesaria para suplir el deficit alimentario.</t>
  </si>
  <si>
    <t xml:space="preserve">Compra de insumos agrícolas y pecuarios para la implementación de las parcelas </t>
  </si>
  <si>
    <t>Elaborar y distribuir Plegables ilustrativos en el sistema de manejo de la parcela agropecuaria y alternativas de preparación de dietas alimenticias nutritivas balanceadas</t>
  </si>
  <si>
    <t>Impresión de plegables ilusssstrativo en el manejo  de la parcela agropecuaria y alternativas de preparación  de aolimentos nutritivos y balanceados</t>
  </si>
  <si>
    <t>Apoyar la conformación de cuatro (4) alianzas para contratos de compra anticipada de productos de la agricultura familiar en el departamento del Quindío</t>
  </si>
  <si>
    <t xml:space="preserve">Conformación de alianzas productivas agropecuaria </t>
  </si>
  <si>
    <t>Beneficiar a 2400 familias urbanas y periurbanas con parcelas de agricultura familiar para autoconsumo y comercio de excedentes</t>
  </si>
  <si>
    <t>0312 - 5 - 1 11 72 76 85 - 20</t>
  </si>
  <si>
    <t xml:space="preserve">  Fortalecimiento a programas de seguridad alimentaria en el Departamento del Quindío.</t>
  </si>
  <si>
    <t xml:space="preserve"> Aumentar la capacidad de produccion y adquisicion de alimentos sanos e inocuos de la poblacion Quindiana que presenta altos grados de vulnerabilidad.</t>
  </si>
  <si>
    <t>Apoyar proyectos productivos con énfasis en seguridad alimentaria, dirigidos a grupos poblacionales vulnerables.
Promover la cultura en la produccion de alimentos para autoconsumo en la zona rural y urbana del Departamento del Quindio
Incrementar el numero de convenios en ejecuciòn para consecuciòn y/o suministro de propagaciòn de los productos agropecuarios considerados dentro de los proyectos de seguridad alimentaria.
Mediante proyectos y/o programas de seguridad alimentaria mejorara las condiciones de vida de la poblaciòn que se encuentran en condiciones vulnerables. Realizar asistencia técnica a proyectos de mejora en centros de abastecimiento urbano municipales</t>
  </si>
  <si>
    <t>CARLOS ALBERTO SOTO RAVE</t>
  </si>
  <si>
    <t xml:space="preserve"> SECRETARIO DE AGRICULTURA, DESARROLLO RURAL Y MEDIO AMBIENTE</t>
  </si>
  <si>
    <t xml:space="preserve">Realizar 40 eventos  de sensibilización en transparencia , participación, buen gobierno y valores éticos y morales </t>
  </si>
  <si>
    <t>0313 - 5 - 3 1 5 26 83 17 82 - 20</t>
  </si>
  <si>
    <t>Desarrollar y fortalecer la cultura de la transparencia, participación, buen gobierno  y valores éticos y morales en el Departamento del Quindio</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</si>
  <si>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</si>
  <si>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*Aumento de conocimiento en temas de transparencia, Etica y Buen Gobierno.                                      * Incremento de formadores éticos con vivencias y prácticas reconocidas a nivel de la sociedad y del departamento .                    *Mejorar la motivación de los ciudadanos ante las buenas prácticas  de los funcionarios en las instituciones 
</t>
  </si>
  <si>
    <t xml:space="preserve">I.  Estructura curricular                       II Ejecución de acciones de formación.                                                 III  Material de apoyo (nivel básico).                                                     IV  Aspectos logísticos.                    V   Comunicaciones pre y pos,  administración y divulgación     </t>
  </si>
  <si>
    <t>CARLOS ALBERTO GOMEZ CHACÓN - DIRECTOR OFICINA PRIVADA</t>
  </si>
  <si>
    <t>Implementar una (1) sala de transparencia "Urna de Cristal" en el Departamento</t>
  </si>
  <si>
    <t>0313 - 5 - 3 1 5 26 83 17 83 - 20</t>
  </si>
  <si>
    <t xml:space="preserve"> Implementacion de una (1) sala de transparencia "Urna de Cristal" en el Departamento del Quindio</t>
  </si>
  <si>
    <t xml:space="preserve">Mejorar el nivel de credibilidad en la transparencia  de la contratación  pública en el Departamento.
</t>
  </si>
  <si>
    <t xml:space="preserve">*Aumentar el conocimiento de la ciudadanía de los procesos precontractuales de la administración departamental                   *Fortalecer participación de la ciudadanía en los procesos precontractuales                                     *
</t>
  </si>
  <si>
    <t xml:space="preserve">1. Creación e implementación de un medio visible y masivo que permita observar como se llevan a cabo los proceso precontractuales del Departamento                                        2. Transmisión a los ciudadanos de la información precontractual delos procesos de la Administración departamental       </t>
  </si>
  <si>
    <t>63164</t>
  </si>
  <si>
    <t xml:space="preserve">CARLOS ALBERTO GOMEZ CHACÓN - DIRECTOR OFICINA PRIVADA </t>
  </si>
  <si>
    <t>Modernización tecnológica y Administrativa</t>
  </si>
  <si>
    <t>Desarrollar e implementar una (1) estrategía de comunicaciones</t>
  </si>
  <si>
    <t xml:space="preserve">No </t>
  </si>
  <si>
    <t>0313 - 5 - 3 1 5 28 89 17 81 - 20</t>
  </si>
  <si>
    <t xml:space="preserve">Implementación de  la estrategia de comunicaciones para  la divulgación de  los programas, proyectos,  actividades y servicios del Departamento del Quindío </t>
  </si>
  <si>
    <t xml:space="preserve">Fortalecer las herramientas de divulgación y comunicación de las metas resultado propuestas en el plan de desarrollo 2016-2019 "En Defensa del Bien Común"        
</t>
  </si>
  <si>
    <t xml:space="preserve">*Definir el plan de medios de comunicación estratégica
 *Estructurar un sistema de comunicación con los diferentes públicos objetivos de la gobernación del Quindío
</t>
  </si>
  <si>
    <t>Formulación de la estrategia de comunicaciones de la administración departamental</t>
  </si>
  <si>
    <t xml:space="preserve">DIANA MILENA GALVIS </t>
  </si>
  <si>
    <t>Diciembre 31 de 2016</t>
  </si>
  <si>
    <t>Difusión de los programas y proyectos de la oferta institucional y evaluaciones del impacto social</t>
  </si>
  <si>
    <t>Pre, pro, pos, producción del programa institucional de televisión para la divulgación de los programas y proyectos de la administración departamental</t>
  </si>
  <si>
    <t>Campañas en medios de comunicación masiva, programas y proyectos de la administración departamental</t>
  </si>
  <si>
    <t>CARLOS ALBERTO GÓMEZ CHACÓN</t>
  </si>
  <si>
    <t xml:space="preserve"> DIRECTOR OFICINA PRIVADA</t>
  </si>
  <si>
    <t>ESTRATEGIA</t>
  </si>
  <si>
    <t>PROGRAMA</t>
  </si>
  <si>
    <t>SUBPROGRAMA</t>
  </si>
  <si>
    <t>VALOR PROYECTO</t>
  </si>
  <si>
    <t>INCLUSION SOCIAL</t>
  </si>
  <si>
    <t>3. INCLUSION SOCIAL</t>
  </si>
  <si>
    <t>Cobertura Educativa</t>
  </si>
  <si>
    <t xml:space="preserve"> Acceso y Permanencia</t>
  </si>
  <si>
    <t>Implementar un (1) plan, programa y/o proyecto para el acceso de niños, niñas y jóvenes en las instituciones educativas</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</si>
  <si>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</si>
  <si>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</si>
  <si>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Departamento del Quindío</t>
  </si>
  <si>
    <t>Garantizar el adecuado mantenimiento en las Instituciones  y Sedes Educativas</t>
  </si>
  <si>
    <t>Extracción material de rio minas y otros</t>
  </si>
  <si>
    <t>Transferencia de la Nación por alimentación PAE</t>
  </si>
  <si>
    <t>ANA LUISA RUIZ TEJADA</t>
  </si>
  <si>
    <t>ALVARO ARIAS VELASQUEZ - SECRETARIO DE EDUCACION DEPARTAMENTAL</t>
  </si>
  <si>
    <t>0314 - 5 - 3 1 3 5 16 1 84 - 20</t>
  </si>
  <si>
    <t>0314 - 5 - 3 1 3 5 16 1 84 - 35</t>
  </si>
  <si>
    <t>Recurso destinado del Monopolio</t>
  </si>
  <si>
    <t>0314 - 5 - 3 1 3 5 16 1 84 - 81</t>
  </si>
  <si>
    <t>Implementar el Programa de Alimentación Escolar (PAE) en el departamento del Quindío</t>
  </si>
  <si>
    <t>1404 - 5 - 3 1 3 5 16 1 84 - 25</t>
  </si>
  <si>
    <t xml:space="preserve"> Implementar un programa de alimentacion escolar para las Instituciones educativas del departamento del Quindio, con el fin de  disminuir los indices de deserciòn escolar  durante la vigencia 2016</t>
  </si>
  <si>
    <t>25-35-20</t>
  </si>
  <si>
    <t>Fondo de Educación SGP-Recurso destinado del Monopolio -FONDO DE EDUCACION,  PAE, CONVENIO MEN RECURSOS DE CAPITAL EDUCACION</t>
  </si>
  <si>
    <t>Implementar el programa de transporte escolar en el departamento del Quindío</t>
  </si>
  <si>
    <t>1404 - 5 - 3 1 3 5 16 1 84 - 81</t>
  </si>
  <si>
    <t xml:space="preserve">Garantizar el transporte escolar a los niños, niñas, jóvenes y adolescentes de la zona rural de los 11 municipios no certificados del Departamento del Quindío para disminuir las distancias de desplazamiento </t>
  </si>
  <si>
    <t>0314 - 5 - 1 1 3 6 5 - 20</t>
  </si>
  <si>
    <t>Fortalecimiento de estrategias de permanencia en el sistema educativo formal mediante el mejoramiento de ambientes educativos escolares en el Departamento del Quindío</t>
  </si>
  <si>
    <t xml:space="preserve"> Bajar  los indices de deserciòn escolar en el Departamento del Quindío</t>
  </si>
  <si>
    <t>Recurso Ornario</t>
  </si>
  <si>
    <t xml:space="preserve">Ordinario -Transferencia de la Nación </t>
  </si>
  <si>
    <t>PILAR HOYOS</t>
  </si>
  <si>
    <t>1404 - 5 - 1 1 3 6 5 - 81</t>
  </si>
  <si>
    <t>Garantizar el transporte escolar a los niños, niñas, jóvenes y adolescentes de la zona rural de los 11 municipios no certificados del Departamento del Quindío para disminuir las distancias de desplazamiento y Garantizar el adecuado mantenimiento en las Instituciones  y Sedes Educativas</t>
  </si>
  <si>
    <t>Educación inclusiva con acceso y permanencia para poblaciones vulnerables - diferenciales</t>
  </si>
  <si>
    <t>Atender cuatro mil quinientos (4.500)  personas de la población adulta del departamento (jóvenes y adultos, madres cabeza de hogar)</t>
  </si>
  <si>
    <t>0314 - 5 - 3 1 3 5 17 1 86 - 20</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</si>
  <si>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</si>
  <si>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</si>
  <si>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población adulta en  el departamento del Quindío</t>
  </si>
  <si>
    <t>Ordinario- SGP Educaion</t>
  </si>
  <si>
    <t>ANA LUISA TEJADA RUIZ</t>
  </si>
  <si>
    <t>ALVARO ARIAS VELASQUEZ  SECRETARIO DE EDUCACION DEPARTAMENTAL</t>
  </si>
  <si>
    <t>Diseñar e implementar una estrategia que permita disminuir la tasa de analfabetismo en los municipios del Departamento del Quindío</t>
  </si>
  <si>
    <t xml:space="preserve">Disminuir el índice de analfabetismo en el departamento del Quindío
</t>
  </si>
  <si>
    <t>Atender cuatrocientos noventa (490) personas de la población étnica (Afro descendientes e indígenas)  en el sistema educativo en los diferentes niveles.</t>
  </si>
  <si>
    <t>1404 - 5 - 3 1 3 5 17 1 86 - 25</t>
  </si>
  <si>
    <t>Aumentar población atendida en el sistema educativo de étnicas, afrodescendiente  e indígenas en el departamento del Quindío</t>
  </si>
  <si>
    <t xml:space="preserve">Atender dos mil quinientos setenta estudiantes (2570) en condición de población  victima del conflicto, residentes en el departamento del Quindío </t>
  </si>
  <si>
    <t>Aumentar atención en el sistema educativo a  la población víctima del conflicto identificada en el departamento del Quindío</t>
  </si>
  <si>
    <t>Atender  cuatrocientos cincuenta y cinco (455)  menores y/o adultos  que se encuentran en riesgo social    en conflicto con la ley penal,  iletrados, habitantes de frontera y/o menores  trabajadores.</t>
  </si>
  <si>
    <t>1404 - 5 - 1 1 3 7 6 - 25</t>
  </si>
  <si>
    <t>Bajar los índice de atención en el sistema educativo de menores y/o adultos con situaciones penales, iletrados, menores trabajadores y habitante de frontera, en el departamento del Quindío</t>
  </si>
  <si>
    <t>Diseñar e implementar un plan para la caracterización y atención de la población en condiciones especiales y excepcionales del departamento</t>
  </si>
  <si>
    <t>Elaborar plan de caracterización para la población con NEE y excepcionales, en el departamento del Quindío</t>
  </si>
  <si>
    <t xml:space="preserve">Fondo de Educación SGP </t>
  </si>
  <si>
    <t xml:space="preserve"> 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</si>
  <si>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</si>
  <si>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1404 - 5 - 3 1 3 5 18 1 87 - 25</t>
  </si>
  <si>
    <t>Aplicación funcionamiento y prestación del servicio educativo de las instituciones educativas</t>
  </si>
  <si>
    <t>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t>
  </si>
  <si>
    <t>Generar estrategias que garantice la sostenibilidad de la planta docente, directivos docentes y administrativos  viabilizados por el ministerio de educación nacional vinculados a la secretaría de educación departamental</t>
  </si>
  <si>
    <t>Gastos Perseonales, Generales y Transferencias, personal docentes y  directivos docentes</t>
  </si>
  <si>
    <t>SGP EDUCACIÓN</t>
  </si>
  <si>
    <t>ALVARO ARIAS VELASQUEZ   SECRETARIO DE EDUCACION DEPARTAMENTAL</t>
  </si>
  <si>
    <t>1404 - 5 - 3 1 3 5 18 1 88 - 25</t>
  </si>
  <si>
    <t>Aplicación de estrategias de acceso al sistema educativo en todos los niveles en el Departamento del Quindío</t>
  </si>
  <si>
    <t>Generar estrategias que garantice la sostenibilidad de la planta docente, directivos docentes y administrativos viabilizados por el ministerio de educación nacional vinculados a la secretaría de educación departamental</t>
  </si>
  <si>
    <t>1400 - 5 - 1 1 3 6 4</t>
  </si>
  <si>
    <t>1401 - 5 - 1 1 3 6 4</t>
  </si>
  <si>
    <t>1402 - 5 - 1 1 3 6 4</t>
  </si>
  <si>
    <t>1403 - 5 - 1 1 3 6 4</t>
  </si>
  <si>
    <t xml:space="preserve"> Calidad Educativa</t>
  </si>
  <si>
    <t xml:space="preserve"> Calidad Educativa para la Paz</t>
  </si>
  <si>
    <t xml:space="preserve">Mejorar el  índice sintético de calidad educativa (ISCE) en el nivel de básica primaria,  por encima del promedio nacional, en treinta  y seis  (36)  Instituciones Educativas oficiales </t>
  </si>
  <si>
    <t>N/D</t>
  </si>
  <si>
    <t xml:space="preserve">
Implementación de  estrategias para el mejoramiento continuo del indice sintetico de calidad educativa en los niveles de básica primaria, básica secundaria y nivel de media en el Departamento del Quindio 
</t>
  </si>
  <si>
    <t xml:space="preserve">   Implementación de  estrategias para el mejoramiento del indice sintetico de calidad educativa en los niveles de básica primaria, básica secundaria y nivel de media en el Departamento del Quindio </t>
  </si>
  <si>
    <t>Capacitar a docentes en estrategias para el mejoramiento del Indice Sintético de Calidad Educativa en el Departamento del Quindío</t>
  </si>
  <si>
    <t>Recurso destinado del Monopolio Ordinario</t>
  </si>
  <si>
    <t>ADALBERT ESPAÑA.
ARLES LOPEZ ESPINOSA
ALVARO BETANCURT.
MARIA AMPARO LONDOÑO - MARIA EUGENIA RIVERA C.</t>
  </si>
  <si>
    <t>Capacitar a mil doscientos (1.200) docentes en estrategias para el mejoramiento del ISCE en el Departamento del Quindío</t>
  </si>
  <si>
    <t xml:space="preserve">Beneficiar a docentes de instituciones educativas del departamento del Quindío con becas de posgrado
</t>
  </si>
  <si>
    <t>Beneficiar a ochenta (80) docentes  con becas de posgrado</t>
  </si>
  <si>
    <t>0314 - 5 - 3 1 3 6 19 1 89 - 20</t>
  </si>
  <si>
    <r>
      <t xml:space="preserve"> Gestionar con el ministerio de educación nacional para la focalización  de nuevas instituciones educativas del departamento del quindío con </t>
    </r>
    <r>
      <rPr>
        <sz val="11"/>
        <color theme="1"/>
        <rFont val="Arial"/>
        <family val="2"/>
      </rPr>
      <t>el programa todos a aprender</t>
    </r>
    <r>
      <rPr>
        <sz val="11"/>
        <color rgb="FF000000"/>
        <rFont val="Arial"/>
        <family val="2"/>
      </rPr>
      <t xml:space="preserve">  </t>
    </r>
  </si>
  <si>
    <t xml:space="preserve">Apoyar quince (15) instituciones educativas participando en el programa todo a aprender </t>
  </si>
  <si>
    <t>0314 - 5 - 3 1 3 6 19 1 89 - 35</t>
  </si>
  <si>
    <r>
      <t xml:space="preserve"> Brindar acompañamiento a docentes de </t>
    </r>
    <r>
      <rPr>
        <sz val="11"/>
        <color theme="1"/>
        <rFont val="Arial"/>
        <family val="2"/>
      </rPr>
      <t xml:space="preserve">instituciones educativas del departamento del quindío con tutores del programa todos a  aprender  </t>
    </r>
    <r>
      <rPr>
        <sz val="11"/>
        <color rgb="FF000000"/>
        <rFont val="Arial"/>
        <family val="2"/>
      </rPr>
      <t xml:space="preserve"> </t>
    </r>
  </si>
  <si>
    <t>Brindar acompañamiento a doscientos treinta (230) docentes con  tutores PTA</t>
  </si>
  <si>
    <t>1404 - 5 - 3 1 3 6 19 1 89 - 80</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</si>
  <si>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</si>
  <si>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</si>
  <si>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</si>
  <si>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</si>
  <si>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</si>
  <si>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0314 - 5 - 3 1 3 6 20 1 90 - 20
0314-5-313620190-35</t>
  </si>
  <si>
    <t>90. 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</si>
  <si>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</si>
  <si>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r>
      <t xml:space="preserve"> Fortalecer los c</t>
    </r>
    <r>
      <rPr>
        <sz val="11"/>
        <color theme="1"/>
        <rFont val="Arial"/>
        <family val="2"/>
      </rPr>
      <t>omités de convivencia escolar en las 54 IE</t>
    </r>
  </si>
  <si>
    <t>Monopolio- SGP</t>
  </si>
  <si>
    <t>Arles Lopez Esponosa</t>
  </si>
  <si>
    <t>Diseñar y ejecutar treinta (30)  proyectos educativos institucionales resignificados en el contexto de la paz y la jornada única</t>
  </si>
  <si>
    <t xml:space="preserve"> Resignificar los proyectos educativos institucionales en el contexto de la paz y la jornada única</t>
  </si>
  <si>
    <t xml:space="preserve">Diseñar e implementar la estrategia "escuela de padres" en treinta (30) instituciones educativas  </t>
  </si>
  <si>
    <t>Diseñar e implementar la estrategia Escuela de Padres</t>
  </si>
  <si>
    <t>Conformar y dotar   grupos culturales y artísticos en treinta (30)  instituciones educativas con  protagonismo en cada uno de los municipios</t>
  </si>
  <si>
    <t>Conformar y dotar grupos culturales artísticos en instituciones educativas</t>
  </si>
  <si>
    <t>35-20</t>
  </si>
  <si>
    <t>Recurso destinado del Monopolio-Ordinario</t>
  </si>
  <si>
    <t>Implementar el proyecto PRAE en treinta y seis (36)  instituciones educativas del departamento</t>
  </si>
  <si>
    <t>Implementar el proyecto PRAE en instituciones educativas del departamento</t>
  </si>
  <si>
    <t>Realizar (8) eventos académicos, investigativos y culturales, liderados por la Secretaría de Educación Departamental para el fortalecimiento de la calidad educativa, la convivencia, la paz, la formación ciudadana y pensamiento ambiental</t>
  </si>
  <si>
    <t>Implementar el programa de jornada única</t>
  </si>
  <si>
    <t>Realizar eventos académicos, investigativos y culturales, liderados por la Secretaría de Educación Departamental para el fortalecimiento de la calidad educativa, la convivencia, la paz, la formación ciudadana y pensamiento ambiental</t>
  </si>
  <si>
    <t xml:space="preserve">Implementar el  programa de  jornada única con el acceso y permanencia de veinte mil (20.000) estudiantes </t>
  </si>
  <si>
    <t xml:space="preserve">Mantener, adecuar y/o construir la infraestructura ciento treinta (130) sedes de las instituciones educativas  </t>
  </si>
  <si>
    <t>Mantener, adecuar y/o construir sedes de las instituciones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</si>
  <si>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</si>
  <si>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</si>
  <si>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</si>
  <si>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</si>
  <si>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</si>
  <si>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</si>
  <si>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</si>
  <si>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r>
      <t xml:space="preserve">   Implementación de  estrategias para  el </t>
    </r>
    <r>
      <rPr>
        <sz val="11"/>
        <color theme="1"/>
        <rFont val="Arial"/>
        <family val="2"/>
      </rPr>
      <t>desarrollo de competencias  y habilidades en lectura y escritura</t>
    </r>
    <r>
      <rPr>
        <sz val="11"/>
        <color rgb="FF000000"/>
        <rFont val="Arial"/>
        <family val="2"/>
      </rPr>
      <t xml:space="preserve"> </t>
    </r>
    <r>
      <rPr>
        <sz val="11"/>
        <color theme="1"/>
        <rFont val="Arial"/>
        <family val="2"/>
      </rPr>
      <t>de los docentes y estudiantes de las insituciones educativas del  Departamento del Quindio</t>
    </r>
  </si>
  <si>
    <r>
      <t xml:space="preserve"> </t>
    </r>
    <r>
      <rPr>
        <sz val="11"/>
        <color theme="1"/>
        <rFont val="Arial"/>
        <family val="2"/>
      </rPr>
      <t xml:space="preserve">Implementar el programa "pásate a la biblioteca"  en   instituciones educativas del Departamento del Quindío </t>
    </r>
  </si>
  <si>
    <t xml:space="preserve">Dotar ciento cuarenta (140) sedes educativas con la colección semilla </t>
  </si>
  <si>
    <t>0314 - 5 - 3 1 3 6 21 1 91 - 20</t>
  </si>
  <si>
    <t xml:space="preserve"> Dotar sedes educativas del Departamento del Quindío con la colección semilla</t>
  </si>
  <si>
    <t>Apoyar los  procesos de capacitación  de quinientos (500) docentes del departamento</t>
  </si>
  <si>
    <t>1404 - 5 - 3 1 3 6 21 1 91 - 25</t>
  </si>
  <si>
    <t>Apoyar los  procesos de capacitación  de docentes de instituciones educativas del departamento del quindío en estrategias de lectura y escritura</t>
  </si>
  <si>
    <t xml:space="preserve">Realizar seis (6)  festivales o encuentros de literatura y escritura el departamento </t>
  </si>
  <si>
    <t xml:space="preserve"> Realizar festivales o encuentros de literatura y escritura dirigidos a estudiantes y docentes de instituciones educativas del  departamento del Quindío</t>
  </si>
  <si>
    <t>1404 - 5 - 1 1 2 4 2 - 25</t>
  </si>
  <si>
    <t>Desarrollo de estrategias de evaluación de actores educativos e instituciones educativas en el Departamento del Quindío.</t>
  </si>
  <si>
    <t>Fondo SGP Educacion</t>
  </si>
  <si>
    <t>Arles Lopez Espinosa</t>
  </si>
  <si>
    <t xml:space="preserve"> Funcionamiento de las Instituciones Educativas</t>
  </si>
  <si>
    <t xml:space="preserve">Contar con cincuenta y dos (52) instituciones educativas con  mayor eficiencia en la gestión de sus procesos y proyectos  ante la entidad  territorial y la Secretaria de Educación Departamental.
</t>
  </si>
  <si>
    <t>1404 - 5 - 3 1 3 6 22 1 93 - 25</t>
  </si>
  <si>
    <t>Mejoramiento de estrategias que permitan una mayor eficiencia en la gestion de procesos y proyectos de las instituciones educativas del Departamento del Quindio.</t>
  </si>
  <si>
    <t>Asistir técnicamente a las instituciones educativas del departamento para mejorar los procesos administrativos para el manejo de los fondos educativos</t>
  </si>
  <si>
    <t>Debida ejecución de los recursos de los fondos educativos</t>
  </si>
  <si>
    <t xml:space="preserve"> Pertinencia e Innovación</t>
  </si>
  <si>
    <t>Quindío Bilingüe</t>
  </si>
  <si>
    <t>Apoyar cincuenta y cinco (55) docentes licenciados en lenguas modernas formados en ingles con  dominio B2</t>
  </si>
  <si>
    <t>1404 - 5 - 3 1 3 7 23 1 94 - 25</t>
  </si>
  <si>
    <t>Implementación de estrategias para el mejoramiento de las competencias en lengua extranjera en estudiantes y docentes de las instituciones educativas del Departamento del Quindío</t>
  </si>
  <si>
    <t>Aumentar el nivel de competencia en inglés de docentes y estudiantes del Quindío</t>
  </si>
  <si>
    <r>
      <t xml:space="preserve"> Aumentar la</t>
    </r>
    <r>
      <rPr>
        <sz val="11"/>
        <color theme="1"/>
        <rFont val="Arial"/>
        <family val="2"/>
      </rPr>
      <t xml:space="preserve"> cualificación de los docentes de inglés en aspectos linguísticos y metodológicos.</t>
    </r>
  </si>
  <si>
    <t>Sgp</t>
  </si>
  <si>
    <t>LEONARDO MORALES</t>
  </si>
  <si>
    <t>Cualificar la formación de ciento cincuenta (150) docentes de preescolar y básica primaria en inglés con dominio A2 y B1 y metodología para la enseñanza</t>
  </si>
  <si>
    <t xml:space="preserve"> Capacitar docentes de  preescolar y básica primaria con dominio A2 y B1 en inglés.</t>
  </si>
  <si>
    <t>Iniciar el proceso de bilinguismo  en niños  entre pre-escolar - quinto grado de primaria de colegios públicos en seis (6) municipios</t>
  </si>
  <si>
    <t xml:space="preserve">Iniciar proceso de bilinguismo en estudiantes de preescolar a grado 5 </t>
  </si>
  <si>
    <t>Dotar cincuenta y cuatro (54) instituciones educativas con herramientas audiovisuales para la enseñanza del ingles</t>
  </si>
  <si>
    <t>Dotar insitituciones educativas con herramientas audiovisuales</t>
  </si>
  <si>
    <t>Realizar siete (7)  concursos  para evaluar las competencias comunicativas en ingles de los estudiantes</t>
  </si>
  <si>
    <t xml:space="preserve">Realizar actividades de evaluación de competencias comunicativas en inglés a estudiantes </t>
  </si>
  <si>
    <t>Fortalecimiento de la Media Técnica</t>
  </si>
  <si>
    <t>Desarrollar doce (12) talleres para docentes en el uso de las TICs</t>
  </si>
  <si>
    <t xml:space="preserve"> Fortalecimiento de los niveles de educación  básica y media para la articulación con la educación terciaria en el Departamento del Quindio </t>
  </si>
  <si>
    <t>Mejorar los porcentajes de estudiantes con posibilidad de ingreso a la educación superior y técnica en el departamento del Quindío.</t>
  </si>
  <si>
    <t>Brindar a la población egresada de las instituciones educativas oficiales del departamento, mayores y mejores oportunidades para el ingreso a la educación terciaria</t>
  </si>
  <si>
    <t>Ordinario-SGP</t>
  </si>
  <si>
    <t>Javier Garcia Sepulveda</t>
  </si>
  <si>
    <t>Fortalecer cincuenta (50)   instituciones educativas en competencias básicas</t>
  </si>
  <si>
    <t>Fortalecer cuarenta y siete (47) instituciones educativas con el programa de articulación con la educación superior y Educacion para el Trabajo y Desarrollo  Humano ETDH</t>
  </si>
  <si>
    <t>0314 - 5 - 3 1 3 7 24 1 95 - 20</t>
  </si>
  <si>
    <t>Fortalecer cuarenta y siete (47) instituciones educativas con el programa de articulación con la educación superior y ETDH</t>
  </si>
  <si>
    <t xml:space="preserve">Implementar un Programa de Alimentación Escolar Universitario PAEU para estudiantes universitarios </t>
  </si>
  <si>
    <t>1404 - 5 - 3 1 3 7 24 1 95 - 25</t>
  </si>
  <si>
    <t>Implementar el programa de acceso y permanencia de la educación técnica, tecnologica y superior en el departamento del Quindío</t>
  </si>
  <si>
    <t xml:space="preserve">Recurso Ordinario- Fondo de Educación SGP </t>
  </si>
  <si>
    <t>Eficiencia educativa</t>
  </si>
  <si>
    <t xml:space="preserve"> 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</si>
  <si>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</si>
  <si>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</si>
  <si>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</si>
  <si>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</si>
  <si>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Implementación de estrategias que garantice la eficiencia administrativa en la secretaría de educación departamental del Quindío</t>
  </si>
  <si>
    <t xml:space="preserve">DIANA PATRICIA GARCIA - GLORIA CASTRO </t>
  </si>
  <si>
    <t>Crear e implementar  en cincuenta y dos (52) instituciones educativas procesos presupuestales y financieros integrados</t>
  </si>
  <si>
    <t>Implementar en 52 instituciones educativas oficiales del departamento procesos presupuestales y financieros integrados</t>
  </si>
  <si>
    <t xml:space="preserve"> Otros proyectos de conectividad</t>
  </si>
  <si>
    <t>Implementar y/o mejorar el sistema de conectividad en 200 sedes educativas oficiales en el departamento.</t>
  </si>
  <si>
    <t>0314 - 5 - 3 1 3 8 26 1 97 - 35</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</si>
  <si>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</si>
  <si>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</si>
  <si>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</si>
  <si>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Recurso Destinado del Monopolio</t>
  </si>
  <si>
    <t>MARIA EUGENIA RIVERA</t>
  </si>
  <si>
    <t>1404 - 5 - 3 1 3 8 26 1 97 - 09</t>
  </si>
  <si>
    <t>1404 - 5 - 3 1 3 8 26 1 97 - 25</t>
  </si>
  <si>
    <t>1404-5-5 11 98 - 25</t>
  </si>
  <si>
    <t>Fortalecimiento de la innovación, formación y conectividad en las instituciones educativas en el Departamento del Quindío.</t>
  </si>
  <si>
    <t>Fondo SGP</t>
  </si>
  <si>
    <t xml:space="preserve"> Funcionamiento y prestación de servicios del sector educativo del nivel central</t>
  </si>
  <si>
    <t>Realizar el pago oportuno al 100% de los funcionarios de la planta de  administrativos, docentes y directivos docentes del sector central</t>
  </si>
  <si>
    <t>1404 - 5 - 3 1 3 8 27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</si>
  <si>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</si>
  <si>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</si>
  <si>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</si>
  <si>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ALVARO ARIAS VELASQUEZ</t>
  </si>
  <si>
    <t>1404 - 5 - 3 1 3 8 27 1 99 - 25</t>
  </si>
  <si>
    <t>Generar estrategias que garantice la eficiencia en las actividades administrativas que garanticen de manera oportuna el pago de salarios,  prestaciones sociales, seguridad social y transferencias de nómina y gastos generales</t>
  </si>
  <si>
    <t xml:space="preserve"> Eficiencia administrativa y docente en la  gestión del bienestar laboral</t>
  </si>
  <si>
    <t>Realizar el reconocimiento a sesenta (60) docentes, directivos docentes y/o personal administrativo</t>
  </si>
  <si>
    <t>0314 - 5 - 3 1 3 8 28 1 100 - 20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</si>
  <si>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</si>
  <si>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t>
  </si>
  <si>
    <t>Fomentar en los docentes, directivos docentes y administrativos de la secretaría de educación departamental del Quindío sentido de pertenencia, mediante el reconocimiento de sus logros</t>
  </si>
  <si>
    <t>JANET ARIAS</t>
  </si>
  <si>
    <t>Realizar (ocho) 8 eventos y actividades culturales y recreativas, desarrolladas para los funcionarios del servicio educativo del departamento del Quindío</t>
  </si>
  <si>
    <t>1404 - 5 - 3 1 3 8 28 1 100 - 25</t>
  </si>
  <si>
    <t>Atención Integral a la Primera Infancia</t>
  </si>
  <si>
    <t xml:space="preserve"> Educación Inicial Integral </t>
  </si>
  <si>
    <t>Implementar  un (1)  programa de educación integral  a la primera infancia</t>
  </si>
  <si>
    <t>0314 - 5 - 3 1 3 16 57 1 101 - 20</t>
  </si>
  <si>
    <t xml:space="preserve">101. Implementación del modelo de atención integral de la educación inicial en el Departamento del  Quindio. </t>
  </si>
  <si>
    <t>Aumentar la tasa de cobertura  de  niños y niñas en edad de transición en las instituciones  educativas del  departamento</t>
  </si>
  <si>
    <t>Elaborar un progrma de educación integral a la primera infancia</t>
  </si>
  <si>
    <t>SECRETARIO DE EDUCACION DEPARTAMENTAL</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</si>
  <si>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</si>
  <si>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</si>
  <si>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</si>
  <si>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</si>
  <si>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</si>
  <si>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</si>
  <si>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</si>
  <si>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 xml:space="preserve">Apoyar acciones que conlleven a garantizar la atención integral a la primera infancia, así como promover factores protectores  en las familias con niños y niñas en primera infancia </t>
  </si>
  <si>
    <t>NATALIA  ALVAREZ</t>
  </si>
  <si>
    <t>LILIANA JARAMILLO CARDENAS
         SECRETARIO DE FAMILIA</t>
  </si>
  <si>
    <t>Apoyar la creación y/o implementación de Rutas integrales de Atención a la primera infancia.</t>
  </si>
  <si>
    <t>Numero de rutas integrales de atención  a al a primera infancia implementadas y/o creadas</t>
  </si>
  <si>
    <t>Implementar rutas de protección integral de niños y niñas (0-5 años),  encaminadas a lograr la  protección integral y promover su desarrollo</t>
  </si>
  <si>
    <t>Logistica operativa (Transporte y refrigerios)</t>
  </si>
  <si>
    <t>Creación y puesta en marcha  de un programa de atención integral a la primera infancia que contenga las rutas integrales de atención</t>
  </si>
  <si>
    <t>Campañas publicitarias de prevención y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</si>
  <si>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</si>
  <si>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</si>
  <si>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</si>
  <si>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</si>
  <si>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</si>
  <si>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</si>
  <si>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</si>
  <si>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</si>
  <si>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Cumplimiento de la fase preliminar de formulacion de la politica puiblica de  familia</t>
  </si>
  <si>
    <t>Implementación de programas dirigidos al rescate de los valores éticos y morales, que generen proyectos de vida en las familias quindianas</t>
  </si>
  <si>
    <t>Logística Operativa</t>
  </si>
  <si>
    <t>Campañas publicitarias de difusión y atención a las familias</t>
  </si>
  <si>
    <t>0316 - 5 - 1 9 70 69 51 - 20</t>
  </si>
  <si>
    <t>Apoyo y fortalecimiento con los programas del centro de atención integral a las familias del Departamento del Quindío.</t>
  </si>
  <si>
    <t>Apoyo Institucional</t>
  </si>
  <si>
    <t>GLORIA CRISTINA ZULETA R</t>
  </si>
  <si>
    <t xml:space="preserve">Adquisición de Bienes y Servicios </t>
  </si>
  <si>
    <t xml:space="preserve">Quindío departamento de derechos  de niñas, niños y adolescentes </t>
  </si>
  <si>
    <t>Implementar la política pública de primera infancia, infancia y adolescencia</t>
  </si>
  <si>
    <t>Política publica de primera infancia, infancia y adolescencia implementada</t>
  </si>
  <si>
    <t>0316 - 5 - 1 9 64 63 45 - 20</t>
  </si>
  <si>
    <t>Divulgación de la política pública de infancia adolescencia en el Quindío.</t>
  </si>
  <si>
    <t>Implementar  la política pública de primera infancia, infancia y adolescencia del Departamento, buscando la garantía de derechos (salud, educación, deporte, recreación, cultura, participación y otros) en entornos protectores .</t>
  </si>
  <si>
    <t>0316 - 5 - 1 9 64 59 41 - 20</t>
  </si>
  <si>
    <t>Asistencia y participación de niños, niñas y adolescentes en los  Consejos de Política Social en todo el Departamento del Quindío.</t>
  </si>
  <si>
    <t>Implementar  una estrategia de prevención y atención de embarazos y segundos embarazos a temprana edad.</t>
  </si>
  <si>
    <t>Estrategia de prevención  y atención de embarazos a temprana edad implementada</t>
  </si>
  <si>
    <t>0316 - 5 - 1 9 64 60 42 - 20</t>
  </si>
  <si>
    <t>Apoyo en la Prevención, disminución del maltrato y abuso sexual en niños, niñas y adolescentes en el Departamento del Quindío.</t>
  </si>
  <si>
    <t>15/03/20016</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</si>
  <si>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</si>
  <si>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</si>
  <si>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0316 - 5 - 1 9 64 61 43 - 20</t>
  </si>
  <si>
    <t>Apoyo a la disminución de niños, niñas y adolescentes entre 0 y 17 años explotados laboral y sexualmente en el Departamento del Quindío.</t>
  </si>
  <si>
    <t xml:space="preserve">Campañas, Publicidad y Promoción </t>
  </si>
  <si>
    <t>MONICA MURILLO ARIAS</t>
  </si>
  <si>
    <t>0316 - 5 - 3 1 3 17 59 14 109 - 20</t>
  </si>
  <si>
    <t>Implementación de la  política de primera infancia, infancia y adolescencia en el Departamento del Quindio</t>
  </si>
  <si>
    <t xml:space="preserve">Seguimiento, monitoreo y evaluación de la implementación   de la   política publica que garantice los derechos de los niños, niñas y adolescentes del depto. Del Quindío </t>
  </si>
  <si>
    <t>GLORIA CRISTINA ZULETA R
LILIANA JARAMILLO CARDENAS
NATALIA ALVAREZ RUALES</t>
  </si>
  <si>
    <t>Garantizar los derechos de los niños, niñas y adolescentes y el restablecimiento de ellos en el depto. Del Quindío</t>
  </si>
  <si>
    <t>Implementar la estrategia de prevención y atención de embarazos a temprana edad y segundos embarazos, con el fin de controlar el número de embarazos en menores de edad  en el departamento del Quindío</t>
  </si>
  <si>
    <r>
      <t>Implementar</t>
    </r>
    <r>
      <rPr>
        <sz val="11"/>
        <color indexed="10"/>
        <rFont val="Arial"/>
        <family val="2"/>
      </rPr>
      <t xml:space="preserve"> </t>
    </r>
    <r>
      <rPr>
        <sz val="11"/>
        <color indexed="8"/>
        <rFont val="Arial"/>
        <family val="2"/>
      </rPr>
      <t>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r>
  </si>
  <si>
    <t>Apoyar la Implementacion de  una  estrategia  de prevención y atención de la erradicación del abuso, explotación sexual comercial, trabajo infantil y peores formas de trabajo, y actividades delictivas</t>
  </si>
  <si>
    <t>CAMPAÑAS PUBLICITARIAS DE PREVENCION Y ATENCION</t>
  </si>
  <si>
    <t>LOGISTICA OPERATIVA</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</si>
  <si>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</si>
  <si>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</si>
  <si>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</si>
  <si>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</si>
  <si>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</si>
  <si>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</si>
  <si>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</si>
  <si>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 xml:space="preserve">MONICA MURILLO ARIAS
</t>
  </si>
  <si>
    <t>Implementar  dos (2) estrategias de prevención para adolescentes y jóvenes en riesgo social y/o vinculados a la Ley de responsabilidad  penal</t>
  </si>
  <si>
    <t>Número  de estrategias  de prevención  para adolescentes y jóvenes implementadas</t>
  </si>
  <si>
    <t>Implementar  estrategias de prevención para adolescentes y jóvenes en riesgo social y/o vinculados a la  Ley de responsabilidad  penal, coadyuvando en el mejoramiento de  la calidad de vida del individuo, la  familia y  la comunidad.</t>
  </si>
  <si>
    <t>Apoyo en la generación de estrategias de articulación y gestión para la atención integral de los jóvenes, incluyendo los sectores y actores</t>
  </si>
  <si>
    <t>Realización y difusión de la Oferta Instiucional, generación del conocimiento</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</si>
  <si>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</si>
  <si>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</si>
  <si>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sensibilizar  la población frente  a  los daños colaterales generados por  el consumo.</t>
  </si>
  <si>
    <t>Articulación  interinstitucional e intersectorial y  personal competente para generar procesos de intervención social, a los jóvenes del depto.</t>
  </si>
  <si>
    <t>ADQUISICION DE BIENES Y SERVICIOS: Logistica operativa, transporte, refrigerios,etc. Para la realizacion de acitivades y eventosque beneficien a los adolescentes y jovenes</t>
  </si>
  <si>
    <t>0316 - 5 - 1 2 37 22 30 - 20</t>
  </si>
  <si>
    <t>Diseño e implementación de programas para la prevención y reducción del consumo de sustancias psicoactivas  en el Departamento del Quindío.</t>
  </si>
  <si>
    <t>0316 - 5 - 1 9 69 67 49 - 20</t>
  </si>
  <si>
    <t>Apoyo a la promoción de espacios y estilos de vida saludables para jóvenes en el Departamento del Quindío.</t>
  </si>
  <si>
    <t>Asistencia Social</t>
  </si>
  <si>
    <t>0316 - 5 - 1 9 69 65 47 - 20</t>
  </si>
  <si>
    <t>Implementación de estrategias de promoción y participación de la juventud en el Departamento del Quindío.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</si>
  <si>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</si>
  <si>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</si>
  <si>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</si>
  <si>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</si>
  <si>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</si>
  <si>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</si>
  <si>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Inclusión social, laboral, educativa  y representatividad de las personas con discapacidad</t>
  </si>
  <si>
    <t>Ajustes y actualización  a la Política Publica de Discapacidad</t>
  </si>
  <si>
    <t>Procesos de Rehabilitación Integral y funcional de las personas con discapacidad y sus familias</t>
  </si>
  <si>
    <t>Elaboración de material didactico para la divulgacion de la politica publica</t>
  </si>
  <si>
    <t>Procesos de sensibilización y concientización en torno a la discapacidad</t>
  </si>
  <si>
    <t>Adquisicion de bienes y servicios: Logistica Operativa</t>
  </si>
  <si>
    <t>0316 - 5 - 1 7 62 54 39 - 20</t>
  </si>
  <si>
    <t>Asistencia y apoyo a la población con discapacidad en el Departamento del Quindío.</t>
  </si>
  <si>
    <t>GLORIA EUGENIA VASQUEZ</t>
  </si>
  <si>
    <t>0316 - 5 - 1 7 62 55 40 - 20</t>
  </si>
  <si>
    <t>Implementación de un programa de rehabilitación basado en comunidad, en el Departamento del Quindío.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</si>
  <si>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</si>
  <si>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</si>
  <si>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</si>
  <si>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</si>
  <si>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</si>
  <si>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</si>
  <si>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</si>
  <si>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</si>
  <si>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</si>
  <si>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04/10/20156</t>
  </si>
  <si>
    <t>04/10/20157</t>
  </si>
  <si>
    <t>Realizar un acercamiento con las instituciones involucradas en la problemática de habitabilidad en la calle, como estrategia de sensibilización para la inclusión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</si>
  <si>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</si>
  <si>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</si>
  <si>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</si>
  <si>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</si>
  <si>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 xml:space="preserve">implementar  programa departamental  para la atención y acompañamiento a la población migrante y de repatriación, acorde al Plan de Acompañamiento al Ciudadano Migrante , en el marco de la Ley 1565/2011. </t>
  </si>
  <si>
    <t>Realizar  procesos  de capacitación, asistencia técnica, seguimiento y evaluación en cuanto a la garantia de derechos de la población migrante del Departamento</t>
  </si>
  <si>
    <t>EL SA ADRIANA SANCHEZ CAÑAS</t>
  </si>
  <si>
    <t>Ejecutar un programa de asistencia social y de repatriación de quindianos fallecidos en el exterior</t>
  </si>
  <si>
    <t>0316 - 5 - 1 10 71 71 53 - 20</t>
  </si>
  <si>
    <t>Implementación del plan de acompañamiento al Ciudadano Migrante, (el que sale y el que retorna) del Departamento del Quindío.</t>
  </si>
  <si>
    <t>0316 - 5 - 1 10 71 72 54 - 20</t>
  </si>
  <si>
    <t>Implementación del plan de acompañamiento para el empleo en el exterior, en escenarios corresponsables de cooperación en el Departamento del Quindío.</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</si>
  <si>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</si>
  <si>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</si>
  <si>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</si>
  <si>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</si>
  <si>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</si>
  <si>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</si>
  <si>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Asistencia Social: Procesos de apoyo, gestión, asesoria y acompañamiento al Resguardo Dachi Agore Drua del Departamento para garantizar los derechos fundamentales y Especiales.</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</si>
  <si>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</si>
  <si>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</si>
  <si>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</si>
  <si>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</si>
  <si>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</si>
  <si>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 xml:space="preserve"> Apoyo, acompañamiento y fortalecimiento en cuanto procesos de seguridad alimentaria, saneamiento basico, educación, salud, justicia, gobernabilidad y territorio </t>
  </si>
  <si>
    <t>2012/2016</t>
  </si>
  <si>
    <t>Diseño e implementación de la ruta metodologica para la formulación y puesta en marcha de planes de vida</t>
  </si>
  <si>
    <t>Compra de herramientas, materiales, insumos, etc.</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</si>
  <si>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</si>
  <si>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</si>
  <si>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0316 - 5 - 1 7 61 53 38 - 20</t>
  </si>
  <si>
    <t>Apoyo y formación en procesos productivos, culturales que tienen como propósito el rescate de la tradición y la cultura en el Departamento del Quindío.</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</si>
  <si>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</si>
  <si>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EL SA ADRIANA SANCHEZ CAÑAS
GUILLERMO ANDRES MURILLO</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</si>
  <si>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</si>
  <si>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</si>
  <si>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</si>
  <si>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Capacitaciones dirigidas a comunidades Afros del Departamento</t>
  </si>
  <si>
    <t>LILIANA JARAMILLO CARDENAS</t>
  </si>
  <si>
    <t xml:space="preserve">Asistencia Social: Apoyo, acompañamiento y fortalecimiento en cuanto procesos de seguridad alimentaria, saneamiento basico, educación, salud y vivienda  </t>
  </si>
  <si>
    <t>Adquisicion de Bienes y Servicios: 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</si>
  <si>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</si>
  <si>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</si>
  <si>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</si>
  <si>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</si>
  <si>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</si>
  <si>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</si>
  <si>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Cumplimiento de la fase preliminar de formulación de la política pública de  diversidad sexual</t>
  </si>
  <si>
    <t>Realización de  campañas educativas con miras a fortalecer  la tolerancia y el respeto a la diversidad sexual</t>
  </si>
  <si>
    <t>Logistica Operativa: CELEBRACION DE EVENTOS RELACIONADOS CON LA POBLACION LGTBI</t>
  </si>
  <si>
    <t>Mujeres constructoras de Familia y de paz.</t>
  </si>
  <si>
    <t>Revisar, ajustar  e  implementar  la política publica de equidad de género para la  mujer del departamento</t>
  </si>
  <si>
    <t>Política pública  de equidad de genero revisada, ajustada e implementada.</t>
  </si>
  <si>
    <t>0316 - 5 - 1 6 51 46 32 - 20</t>
  </si>
  <si>
    <t>Apoyo a programas que generen oportunidades a las mujeres rurales de todo el Departamento del Quindío.</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</si>
  <si>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</si>
  <si>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DORA BEATRIZ ARBELAEZ A</t>
  </si>
  <si>
    <t>0316 - 5 - 1 6 51 47 33 - 20</t>
  </si>
  <si>
    <t>Prevención y atención integral a las mujeres víctimas de la violencia en todo el Departamento del Quindío.</t>
  </si>
  <si>
    <t>0316 - 5 - 3 1 3 18 66 14 128 - 20</t>
  </si>
  <si>
    <t>Implementaciòn de la polìtica pùblica de equidad de género para la mujer en el Departamento del Quindìo</t>
  </si>
  <si>
    <t xml:space="preserve">Capacitacion  y concientización  para lograr la igualdad de género y empoderar a las mujeres </t>
  </si>
  <si>
    <t xml:space="preserve">Implementacion de los planes de acción de la Politica Publica de  Equidad de Género para la mujer
</t>
  </si>
  <si>
    <t>Campañas de socialización de las normas y las leyes que cobijan a la Mujer</t>
  </si>
  <si>
    <t>Conmemoración Día de la No violencia contra la Mujer</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</si>
  <si>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</si>
  <si>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</si>
  <si>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</si>
  <si>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</si>
  <si>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0316 - 5 - 1 9 70 70 52 - 20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</si>
  <si>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</si>
  <si>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</si>
  <si>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</si>
  <si>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Ajustes y actualización  a la Política Publica de envejecimiento y vejez: UN QUINDIO PARA TODAS LAS EDADES</t>
  </si>
  <si>
    <t>GLORIA EUGENIA VASQUEZ
LILIANA JARAMILLO CARDENAS</t>
  </si>
  <si>
    <t>0316 - 5 - 3 1 3 19 67 14 129 - 20</t>
  </si>
  <si>
    <t>Realizar procesos de motivación para incentivar el interés por la vida disminuyendo índices  de morbilidad del adulto mayor</t>
  </si>
  <si>
    <t>LOGISTICA OPERATIVA: Para los eventos a realizar y/o elementos como distintivos representativos Institucionales</t>
  </si>
  <si>
    <t>Celebraciones y eventos donde se resalte la importancia del rol del adulto mayor y su trayectoria de vida en la familia y la sociedad</t>
  </si>
  <si>
    <t xml:space="preserve">Apoyar 12 Centros de Bienestar del Departamento </t>
  </si>
  <si>
    <t xml:space="preserve">Apoyar 12 centros de bienestar del departamento </t>
  </si>
  <si>
    <t xml:space="preserve">0316 - 5 - 3 1 3 19 67 14 129 - 84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</si>
  <si>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</si>
  <si>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Superavit Estampilla Pro Adulto Mayor</t>
  </si>
  <si>
    <t xml:space="preserve">Apoyar 14 Centros Vida del Departamento </t>
  </si>
  <si>
    <t xml:space="preserve">Apoyar 14 centros vida del departamento </t>
  </si>
  <si>
    <t>Estampilla Pro Adulto Mayor</t>
  </si>
  <si>
    <t>SECRETARIA DE FAMILIA</t>
  </si>
  <si>
    <t>PROYECTO Y ELABORO: DORIS CASTAÑO AGUDELO</t>
  </si>
  <si>
    <t>NO</t>
  </si>
  <si>
    <t xml:space="preserve"> BUEN GOBIERNO </t>
  </si>
  <si>
    <t>26.</t>
  </si>
  <si>
    <t>QUINDIO TRANSPARENTE Y LEGAL</t>
  </si>
  <si>
    <t>QUINDIO EJEMPLAR Y LEGAL</t>
  </si>
  <si>
    <t>Establecer y socializar veinte (20)  políticas desde la cultura de la legalidad y  la prevención de daño antijurídico en  el Departamento.</t>
  </si>
  <si>
    <t>0317 - 5 - 1 22 106 140 123 - 20</t>
  </si>
  <si>
    <t xml:space="preserve"> Fortalecimiento de la Gestión Jurídica en el Departamento del Quindío.</t>
  </si>
  <si>
    <t>Fortalecer las estrategias de defensa jurídica y las herramientas de gestión para mejorar la efectividad en los procesos de los cuales hace parte el Departamento del Quindío.</t>
  </si>
  <si>
    <t xml:space="preserve">Generar lineamientos  generales de
prevención, de conciliación y estrategias
generales de defensa jurídica.
</t>
  </si>
  <si>
    <t>Análisis y clasificación de  las causas que generan solicitudes de conciliación extrajudicial y demandas instauradas en contra del Departamento del Quindío.</t>
  </si>
  <si>
    <t>RECURSOS ORDINARIOS</t>
  </si>
  <si>
    <t>JAMER CHAQUIP GIRALDO MOLINA    SECRETARIO REPRESENTACION JUDICIAL Y DEFENSA</t>
  </si>
  <si>
    <t>06/30/2016</t>
  </si>
  <si>
    <t>JAMER CHAQUIP GIRALDO MOLINA  SECRETARIO DE REPRESENTACIÓN JUDICIAL  Y DEFENSA</t>
  </si>
  <si>
    <t>Elaboración de un informe-diagnóstico sobre las principales causas que generan solicitudes de conciliación extrajudicial y demás instauradas en contra del Departamento del Quindío.</t>
  </si>
  <si>
    <t>Promover la conciliación  extrajudicial y judicial como mecanismo alternativo  de resolución de controversias.</t>
  </si>
  <si>
    <t xml:space="preserve">Desarrollo de capacitaciones en conciliación extrajudicial y judicial como  mecanismo alternativo  de resolución de controversias al interior de la Administración Departamental.  </t>
  </si>
  <si>
    <t>0317 - 5 - 3 1 5 26 83 17 131 - 20</t>
  </si>
  <si>
    <t xml:space="preserve"> Formulación, adopción e implementación de políticas de prevención del daño antijurídico en el Departamento del Quindío. </t>
  </si>
  <si>
    <t>Fortalecer los procesos, procedimientos y actuaciones de la administración para el cumplimiento de su misión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</si>
  <si>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</si>
  <si>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</si>
  <si>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</si>
  <si>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</si>
  <si>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</si>
  <si>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</si>
  <si>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</si>
  <si>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Secretario de Representación Judicial y Defensa</t>
  </si>
  <si>
    <t>0-6</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</si>
  <si>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</si>
  <si>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</si>
  <si>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</si>
  <si>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</si>
  <si>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  /  1803 - 5 - 1 2 9 17 6 - 61</t>
  </si>
  <si>
    <t xml:space="preserve">  Aprovechamiento biológico y consumo de  alimentos idoneos  en el Departamento del Quindio</t>
  </si>
  <si>
    <t xml:space="preserve">Disminución de la desnutrición global y crónica en la primera infancia.
</t>
  </si>
  <si>
    <t xml:space="preserve"> Implementar y aplicar la resolucin 2674/2013
</t>
  </si>
  <si>
    <t>Implementar una estrategia para mejorar las buenas practicas de preparacion de alimentos en hogares, programas institucionales y en la via publica</t>
  </si>
  <si>
    <t>FONDO LOCAL DE SALUD - SGP</t>
  </si>
  <si>
    <t>NEBIO JAIRO LONDOÑO</t>
  </si>
  <si>
    <t xml:space="preserve"> CESAR AUGUSTO RINCON ZULUAGA SECRETARIA DE SALUD DEPARTAMENTAL</t>
  </si>
  <si>
    <t xml:space="preserve">Ejecutar el plan decenal de lactancia materna </t>
  </si>
  <si>
    <t xml:space="preserve">Adoptar e implementar de manera sistematica el plan decenal de lactancia materna con el fin de aumentar el cumplimiento de la practica de la lactancia materna exclusiva.
</t>
  </si>
  <si>
    <t>Implementacion de la estrategia Instituciones Amigas de la  Mujer y la  Infancia</t>
  </si>
  <si>
    <t>Fortalecer la atención integral  en seis (6) poblaciones vulnerables (etnias)  en menores de cinco años con casos de desnutrición</t>
  </si>
  <si>
    <t xml:space="preserve">Fortalecer la atención integral de la poblacion indigena  en menores de cinco años con el fin de disminnuir la prevalencia de casos de desnutrición.
</t>
  </si>
  <si>
    <t>Fortalecer la atención integral de la poblacion indigena  en menores de cinco años con el fin de disminnuir la prevalencia de casos de desnutrición</t>
  </si>
  <si>
    <t>Salud Pública para un Quindío saludable y posible</t>
  </si>
  <si>
    <t>Salud ambiental</t>
  </si>
  <si>
    <t>Formular, aprobar y divulgar  la Política Integral de Salud Ambiental (PISA)</t>
  </si>
  <si>
    <t xml:space="preserve">1803 - 5 - 3 1 3 12 36 2 133 - 61  /1803 - 5 - 1 2 9 18 134 - 61  </t>
  </si>
  <si>
    <t xml:space="preserve"> Control Salud Ambiental Departamento del Quindío.</t>
  </si>
  <si>
    <t>Disminución  de los factores de riesgo sanitarios y ambientales asociados a eventos de interés en salud pública relacionados con la salud ambiental como el aumento de la carga contaminante del agua, entre otros.</t>
  </si>
  <si>
    <t xml:space="preserve">Implementación y adopción en el departamento de la  Política integral de salud ambiental PISA reglamentada  </t>
  </si>
  <si>
    <t>Politica de atención integral de salud ambiental</t>
  </si>
  <si>
    <t>FONDOLOCAL DE SALUD - SGP</t>
  </si>
  <si>
    <t xml:space="preserve">Generar los mapas de riesgo y vigilancia de la calidad de agua para consumo humano en  los doce (12) municipios del departamento </t>
  </si>
  <si>
    <t>Implementación de los Decreto 1575 de 2007 y resolución  4716 de 2010  de manera articulada por las autoridades ambientales, de salud y los prestadores del servicio de acueducto y alcantarillado.</t>
  </si>
  <si>
    <t>Mapas de Riesgo</t>
  </si>
  <si>
    <t>Sexualidad, derechos sexuales y reproductivos</t>
  </si>
  <si>
    <t>Lograr que ocho (8) municipios del departamento operen el sistema de vigilancia en salud pública de la violencia intrafamiliar.</t>
  </si>
  <si>
    <t>1803 - 5 - 3 1 3 12 37 2 134 - 61</t>
  </si>
  <si>
    <t xml:space="preserve">  Fortalecimiento de acciones de intervención inherentes a los derechos sexuales y reproductivos  en el Departamento del Quindio.</t>
  </si>
  <si>
    <t xml:space="preserve"> Disminución de los eventos de interés en salud pública relacionados con la salud sexual y reproductiva en especial de la mortalidad materna  </t>
  </si>
  <si>
    <t xml:space="preserve">Eficiencia en la garantía en la  atención integral a la población en salud sexual y reproductiva </t>
  </si>
  <si>
    <t>Abordaje integral de las violencias de genero y violencias sexuales</t>
  </si>
  <si>
    <t>Desarrollar acciones articuladas intersectorialmente en los doce (12) municipios del departamento, con enfoque de derechos en colectivos LGTBI, jóvenes, mujeres gestantes adolescentes</t>
  </si>
  <si>
    <t>Prevencion y atención integralen ITS-VIH/SIDA con enfoque de vulnerabilidad</t>
  </si>
  <si>
    <t>Vincular cuatro mil ochocientos (4.800) mujeres gestantes al programa de control prenatal antes de la semana 12 de edad gestacional.</t>
  </si>
  <si>
    <t>Identificar tempranamente de los riesgos que impacten en la Salud del binomio madre e hijo</t>
  </si>
  <si>
    <t xml:space="preserve">Abordaje integral de la mujer antes, durante y despues del evento obstetrico
</t>
  </si>
  <si>
    <t>Canalizar acciones de promoción de la salud en el desarrollo de la política Nacional de sexualidad, derechos sexuales y reproductivos</t>
  </si>
  <si>
    <t xml:space="preserve">Fortalecimiento de la oferta en salud sexual y reproductiva, para adolescentes y jovenes </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</si>
  <si>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</si>
  <si>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</si>
  <si>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  1803 - 5 - 1 2 37 23 139 - 61</t>
  </si>
  <si>
    <t xml:space="preserve"> Fortalecimiento promoción de la salud y prevención primaria en salud mental en el Departamento del Quindío.</t>
  </si>
  <si>
    <t>Disminuir la morbimortalidad asociada a la salud mental principalmente de la violencia intrafamiliar</t>
  </si>
  <si>
    <t>Mejoramiento de la  percepción de riesgo y disminución de la  permisividad social frente al consumo de sustancias licitas e ilícitas</t>
  </si>
  <si>
    <t xml:space="preserve">Ajustar e implementar  la política de salud mental </t>
  </si>
  <si>
    <t>Adoptar e implementar el modelo de Atención primaria en Salud Mental (APS) en todos los municipios Quindiano</t>
  </si>
  <si>
    <t>Generación de capacidad de respuesta frente a la demanda de atención en salud mental</t>
  </si>
  <si>
    <t>Ajuste de Politica de Reducción del Consumo de Sustancias Psicoactivas</t>
  </si>
  <si>
    <t>Adoptar  e implementar en los doce (12) municipios el plan departamental de la reducción del consumo de sustancias psicoactivas SPA conforme a lineamientos y desarrollos técnicos entorno a la demanda</t>
  </si>
  <si>
    <t>Gestion integral del riesgo a la salud desde la Dimensión de convivencia social y salud mental (Violencia, conducta suicida, transtorno mental,  spa)</t>
  </si>
  <si>
    <t>1803 - 5 - 1 2 37 22 138 - 61</t>
  </si>
  <si>
    <t xml:space="preserve">  Fortalecimiento y promoción de la salud una razón más para sonreír en el Departamento del Quindío</t>
  </si>
  <si>
    <t>Estilos de vida saludable y condiciones no-transmisibles</t>
  </si>
  <si>
    <t>Implementar la estrategia  denominada "Cuatro por cuatro" para la promoción de la alimentación saludable</t>
  </si>
  <si>
    <t>1803 - 5 - 1 2 9 17 132 - 61</t>
  </si>
  <si>
    <t xml:space="preserve">  Control y Vigilancia en las acciones de intervención inherentes a la salud pública en el Quindío</t>
  </si>
  <si>
    <t>Disminución de la carga de la enfermedad asociada a las enfermedades crónicas no trasmisibles</t>
  </si>
  <si>
    <t>Implementación de la estrategia 4 x 4 para reducir la mortalidad, la morbilidad y los factores de riesgo prevenibles.</t>
  </si>
  <si>
    <t>Implementacion de normas tecnicas para la atencion del binomio madre e hija</t>
  </si>
  <si>
    <t>1803 - 5 - 3 1 3 12 39 2 138 - 61</t>
  </si>
  <si>
    <t xml:space="preserve"> Control y vigilancia en las acciones de condiciones no transmisibles y promoción de estilos de vida saludable en el Quindio  </t>
  </si>
  <si>
    <t>Estrategia 4 x 4 para promover la estrategia de hábitos y estilos de vida</t>
  </si>
  <si>
    <t>Implementar una estrategia de ambientes libres de humo de tabaco en los  municipios.</t>
  </si>
  <si>
    <t>Articulación interinstitucional que garantice la integralidad en la atención de los usuarios</t>
  </si>
  <si>
    <t>Convenios académicos de investigación</t>
  </si>
  <si>
    <t>Implementar una estrategia para mantener la edad de inicio de consumo de tabaco en los adolescentes escolarizados.</t>
  </si>
  <si>
    <t>Adopción y adherencia de las guías y protocolos de atención de las enfermedades crónicas no transmisibles por parte de las EPS e IPS</t>
  </si>
  <si>
    <t>Adherencia a guías y protocolos, articulación interinstitucional y gestión del riesgo de la salud</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</si>
  <si>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</si>
  <si>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</si>
  <si>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</si>
  <si>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 xml:space="preserve">  Fortalecimiento de las acciones de la prevención y protección en la población infantil en el Departamento del Quindío</t>
  </si>
  <si>
    <t xml:space="preserve">Reducir la exposición a condiciones y factores de riesgo ambientales, sanitarios y biológicos, de las contingencias y daños producidos por las enfermedades transmisibles
</t>
  </si>
  <si>
    <t xml:space="preserve"> implementar la estrategia que garantice el adecuado funcionamiento de la red de frío para el almacenamiento  de los biológicos del Programa Ampliado de Inmunización (PAI), permitiendo  la calidad de las vacunas, del programa ampliado de inmunizaciones para los menores de cinco años.
</t>
  </si>
  <si>
    <t xml:space="preserve">Fortalecimiento de la capacidad técnica, operativa, monitoreo y mantenimiento y municipios </t>
  </si>
  <si>
    <t>Implementar una estrategia que permita garantizar el adecuado funcionamiento de la red de frío para el almacenamiento  de los biológicos del Programa ampliado de inmunización (PAI).</t>
  </si>
  <si>
    <t xml:space="preserve"> Articular  la gestion del programa Ampliado de Inmunizaciones y poceso de conservacion, sistema de indormacion de vacunas</t>
  </si>
  <si>
    <t>Programa ampliado de inmunizaciones</t>
  </si>
  <si>
    <t>Implementar  la estrategia de gestión integral-enfermedades de transmisión vectorial (EGI ETV) en los 5 municipios hiperendémicos para enfermedades de transmisión vectorial</t>
  </si>
  <si>
    <t>1803 - 5 - 1 2 9 17 133 - 61</t>
  </si>
  <si>
    <t xml:space="preserve"> Fortalecimiento de estrategia de gestión integral, vectores y cambio climático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</si>
  <si>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</si>
  <si>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realizar gestion integral frente  los determinantes sociales y ambientales que favorescan la presencia de enfermedades transmitidas por vectores ETV (dengue, malaria, lesmaniasis y enfermedades de chagas) y zoonosis (rabio y lectospirosis)</t>
  </si>
  <si>
    <t>desarrollar acciones en sectores e instituciones involocradas participando activamente en la modificacion de los determinates sociales y ambientales</t>
  </si>
  <si>
    <t>N/A</t>
  </si>
  <si>
    <t>1803 - 5 - 3 1 3 12 40 2 141 - 108  /  1803 - 5 - 3 1 3 12 40 2 141 - 111  /  1803 - 5 - 3 1 3 12 40 2 141 - 112  /  1803 - 5 - 3 1 3 12 40 2 141 - 113  /  1803 - 5 - 3 1 3 12 40 2 141 - 114  /  1803 - 5 - 3 1 3 12 40 2 141 - 118</t>
  </si>
  <si>
    <t xml:space="preserve">  Fortalecimiento de estrategia de gestión integral, vectores, cambio climático y zoonosis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</si>
  <si>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</si>
  <si>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 xml:space="preserve">Reducción de la morbi-mortalidad por ETV en la población colombiana a riesgo 
</t>
  </si>
  <si>
    <t>Información, educación y comunicación</t>
  </si>
  <si>
    <t>Inteligencia epidemiológica y EGI ETV</t>
  </si>
  <si>
    <t xml:space="preserve">Implementar la estrategia  para ampliar coberturas útiles de vacunación antirrábica en animales (perros y gatos). </t>
  </si>
  <si>
    <t xml:space="preserve">Mantener la vigilancia de las agresiones animales provocadas por perros y gatos las cuales son un factor de riesgo para la ocurrencia de casos de rabia humana
</t>
  </si>
  <si>
    <t>Observación sanitaria de animales (caracol africano y leptospirosis)</t>
  </si>
  <si>
    <t>Censo de población canina y felina</t>
  </si>
  <si>
    <t>Implementar el plan estratégico hacia el fin de la tuberculosis</t>
  </si>
  <si>
    <t>1803 - 5 - 3 1 3 12 40 2 142 - 113  /  1803 - 5 - 3 1 3 12 40 2 142 - 114  /  1803 - 5 - 3 1 3 12 40 2 142 - 61</t>
  </si>
  <si>
    <t xml:space="preserve">  Fortalecimiento de la inclusión social para la disminución de riesgos de contraer enfermedades transmisibles  en el Departamento del Quindio </t>
  </si>
  <si>
    <t xml:space="preserve">Reducir la exposición a condiciones y factores de riesgo ambientales, sanitarios y biológicos, de las contingencias y daños producidos por las enfermedades transmisibles y respiratorias.
</t>
  </si>
  <si>
    <t xml:space="preserve">Desarrollar procesos de formación, capacitación e investigación sobre el   manejo integral del paciente, protocolos de atención de tuberculosis y lepra, y planes estratégicos  “Colombia hacia el fin de la tuberculosis” y plan estratégico “para aliviar la carga de la enfermedad y sostener” </t>
  </si>
  <si>
    <t>Gestión integral del riesgo para la vigilancia y la adherencia al tratamiento</t>
  </si>
  <si>
    <t>Insumos y reactivos para programs especiales</t>
  </si>
  <si>
    <t>Salud publica en emergencias y desastres</t>
  </si>
  <si>
    <t>Realizar catorce (14) simulacros de atención a emergencias en la Red Pública Hospitalaria</t>
  </si>
  <si>
    <t>1803 - 5 - 3 1 3 12 41 2 143 - 61</t>
  </si>
  <si>
    <t xml:space="preserve">  Prevención en emergencias y desastres de eventos relacionados con la salud pública en el Departamento del  Quindio</t>
  </si>
  <si>
    <t>Fortalecer  la gestión integral del riesgo en    salud  en  situaciones de emergencias y desastres   en el departamento del Quindío</t>
  </si>
  <si>
    <t xml:space="preserve">realizar  simulacros de atencion a emergencias en la red publica hospitalaria </t>
  </si>
  <si>
    <t>Planeacion  y ejecucion de  estrategias para la getion del riesgo en emergencias y desastres articuladas entre los sectores involucradas</t>
  </si>
  <si>
    <t>Mejorar el índice de seguridad hospitalaria en once (11) empresas sociales del estado (ESE) del departamento del nivel  I y II.</t>
  </si>
  <si>
    <t xml:space="preserve"> mejorar  los indices de seguridad hospitalria en el 100% de los hospitales publicos    </t>
  </si>
  <si>
    <t xml:space="preserve">Fortalecimiento de   la red integrada  para la atencion de emergencias y desastres  a través  del desarrollo tecnologico  para el manejo de software y bases   de datos en el monitoreo de los factores de riesgo </t>
  </si>
  <si>
    <t>Salud en el entorno laboral</t>
  </si>
  <si>
    <t>Fomentar en 8 municipios un programa de cultura preventiva en el trabajo formal e informal y entornos laborales saludables.</t>
  </si>
  <si>
    <t>1803 - 5 - 1 2 9 20 136 - 61</t>
  </si>
  <si>
    <t xml:space="preserve">  Prevención y vigilancia a los riesgos profesionales en el Departamento del Quindío.</t>
  </si>
  <si>
    <t xml:space="preserve">Disminucion de Eventos de Origen Laboral en los trabajadores del sector Formal del Departamentodel Quindio </t>
  </si>
  <si>
    <t>fortalecer las acciones de intervencion de los factores de riesgo en la poblacion mediante acciones de asesoria tecnica, inspeccion, vigilancia y control para disminuir la morbimortalidad de los eventos de interes en salud publica</t>
  </si>
  <si>
    <t>fortalecer las acciones de inspeccion vigilancia y control frente al cumplimiento de la normatividad en salud ocupacional</t>
  </si>
  <si>
    <t>1803 - 5 - 3 1 3 12 42 2 145 - 61  /  1803 - 5 - 1 2 9 19 135 - 61</t>
  </si>
  <si>
    <t xml:space="preserve">  Prevención vigilancia y control de eventos de origen laboral en el Departamento del Quindío.</t>
  </si>
  <si>
    <t xml:space="preserve">Disminucion de Eventos de Origen Laboral en los trabajadores del sector Formal del Departamentodel Quindio 
</t>
  </si>
  <si>
    <t xml:space="preserve">Dar cumplimiento a las normas y Decretos del Sistema General de Riesgos laborales con el fin de proteger la poblacion laboral de las 14 ESES del Departamento del Quindio
</t>
  </si>
  <si>
    <t xml:space="preserve">Seguimiento a las actividades de Promocion a la Salud y Prevencion de Riesgos  implementadas en el Sistema de  Gestion de la Seguridad y Salud en el Trabajo. 
</t>
  </si>
  <si>
    <t>Implementación en las 14 empresas sociales del estado (ESE) departamentales y de primer nivel, el Sistema de Gestión de la Seguridad y Salud en el Trabajo</t>
  </si>
  <si>
    <t xml:space="preserve">Acompañamiento en la implementación del  Sistema de Gestión de la Seguridad y Salud en el Trabajo en las 14 empresas sociales del estado (ESE) departamentales y de primer nivel. 
</t>
  </si>
  <si>
    <t>Levantamiento de linea base sobre las ESES del Depàrtamento con el Sistema de Seguridadad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</si>
  <si>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</si>
  <si>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</si>
  <si>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0318 - 5 - 3 1 3 12 43 2 146 - 20  /  1803 - 5 - 3 1 3 12 43 2 146 - 61</t>
  </si>
  <si>
    <t xml:space="preserve">  Fortalecimiento de la autoridad sanitaria en el Departamento del Quindio </t>
  </si>
  <si>
    <t xml:space="preserve">Fortalecer la operación del sistema de  inspeccion , vigilancia  y  control sanitario  del sistema de de salud </t>
  </si>
  <si>
    <t xml:space="preserve"> Fortalecimiento de la capacidad tecnica en las acciones  de Inspeccion, Vigilancia y Control Sanitario, en el analisis y  la gestion de los  riesgos asociados a al uso y consumo de bienes y servicios, que garanticen recurso humano idoneo,   con conocimientos en la aplicabilidad de la normatividad.</t>
  </si>
  <si>
    <t>Adquisición de bienes y servicios</t>
  </si>
  <si>
    <t>61 - 20</t>
  </si>
  <si>
    <t>Implementar  una estrategia oportuna de atención a sujetos de atención,  objetos de procesos de  inspección, vigilancia y control sanitario</t>
  </si>
  <si>
    <t xml:space="preserve"> Fortalecer las mesas de coordinacion intersectorial de seguridad quimica, aire  y entornos saludables   desde el   Consejo Territorial de Salud Ambiental </t>
  </si>
  <si>
    <t>Fortalecimiento de la capacidad tecnica en las acciones de IVC</t>
  </si>
  <si>
    <t xml:space="preserve">Implementar el   Plan territorial  de Adaptacion al  Cambio Climatico desde el componente de Salud Ambiental  en los municipios de competencia </t>
  </si>
  <si>
    <t>Plan territorial de adaptación al cambio climatico</t>
  </si>
  <si>
    <t xml:space="preserve">Consolidar y desarrollar  el sistema de inspección vigilancia y control (SIVC)  en 150 establecimientos farmacéuticos del departamento. </t>
  </si>
  <si>
    <t>1803 - 5 - 1 2 9 18 5 - 63  / 1803 - 5 - 3 1 3 12 43 2 147 - 63  /  1803 - 5 - 3 1 3 12 43 2 147 - 99</t>
  </si>
  <si>
    <t xml:space="preserve">  Fortalecimiento de las acciones del Fondo Rotatorio de Estupefacientes  en el Departamento del Quindio </t>
  </si>
  <si>
    <t>Aumentar las acciones de Inspección, Vigilancia y Control en cuanto al manejo o uso de productos Farmacéuticos y Medicamentos de Control Especial.</t>
  </si>
  <si>
    <t>Realizar visitas de Inspección, Vigilancia y Control a Establecimientos Farmacéuticos donde se verificara el cumplimiento de la normatividad vigente frente al manejo y uso adecuado de los productos farmacéuticos ocasionando una cultura y conciencia adecuada en  la prevención del riesgo asociado con la comercialización inadecuada de estos.</t>
  </si>
  <si>
    <t>Suministro de medicamentos de control especial monopolio del estado</t>
  </si>
  <si>
    <t>63 - 99</t>
  </si>
  <si>
    <t>AYLIN YOMARA SOLIS BOLIVAR</t>
  </si>
  <si>
    <t>Adquision de recetarios oficiales para la prescipción de medicamentos de control especial</t>
  </si>
  <si>
    <t>Fortalecimiento del sistema de información FRE</t>
  </si>
  <si>
    <t>Realizar visitas de Inspección, Vigilancia y Control a los Establecimientos Farmacéuticos de competencia Departamental. TRF</t>
  </si>
  <si>
    <t>Realizar actividades de promocion, prevención, asesoría y asistencia técnica a la población con el fin de disminuir los factores de riesgo del ambiente asociados al manejo o uso de productos farmacéuticos y medicamentos de control especial.</t>
  </si>
  <si>
    <t>Acciones de Inspección, vigilancia, seguimiento y/o control sobre la implementación del programa de farmacodependencia dentro de las Instituciones Prestadoras en Servicios de Salud (I.P.S).</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</si>
  <si>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</si>
  <si>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</si>
  <si>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0318 - 5 - 3 1 3 12 44 2 148 - 20  /  1803 - 5 - 3 1 3 12 44 2 148 - 61</t>
  </si>
  <si>
    <t xml:space="preserve">  Implementación de programas de promoción social en poblaciones  especiales en el Departamento del Quindío.</t>
  </si>
  <si>
    <t>Integralidad de la  gestión de los riesgos de la salud de los grupos con alta vulnerabilidad (grupos étnicos, nnaj, victimas y población con discapacidad, adulto mayor)</t>
  </si>
  <si>
    <t>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t>
  </si>
  <si>
    <t>Desarrollo de programas especiales orientados a poblaciones  vulnerables (étnicos, adulto mayor, genero, entre otros)</t>
  </si>
  <si>
    <t xml:space="preserve">                                     RECURSOS ORDINARIOS - FONDO LOCAL DE SALUD  - SGP</t>
  </si>
  <si>
    <t>Implementar el  Programa de atención psicosocial y salud integral a víctimas del conflicto armado.</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</si>
  <si>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</si>
  <si>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Programa de atención psicosocial y salud integral a víctimas del conflicto armado</t>
  </si>
  <si>
    <t>Fortalecimiento de  la estrategia AIEPI en los 12 municipios del Departamento</t>
  </si>
  <si>
    <t>Fortalecer la estrategia de atención integral a las enfermedades prevalentes de la infancia (AIEPI) con la aplicación de prácticas clave</t>
  </si>
  <si>
    <t xml:space="preserve">Fortaleciemiento de la implementacion de la estrategia atención atencion integrada a las enfermadades prevalentes a la primera infancia </t>
  </si>
  <si>
    <t>Fortalecer en los doce (12) municipios del departamento los  comités municipales de discapacidad</t>
  </si>
  <si>
    <t>Fortalecer los deberes y derechos a las poblaciones en condición de discapacidad a través de los comités municipales.</t>
  </si>
  <si>
    <t>Fortalecimiento de la capacidad técnica municipal</t>
  </si>
  <si>
    <t>1803 - 5 - 1 2 9 17 2 - 61</t>
  </si>
  <si>
    <t xml:space="preserve">  Fortalecimiento de las acciones de la prevención y protección en la población infantil CRECIENDO SALUDABLES en el Departamento del Quindío</t>
  </si>
  <si>
    <t xml:space="preserve">disminuir la morbimortalidad de as enfermedades prevalientes en la primera infacia </t>
  </si>
  <si>
    <t xml:space="preserve">fortaleciemiento de las acciones de seguimiento a la aplicabilidad de las guias y protocolos en la prestacion de los servicos </t>
  </si>
  <si>
    <t>desarrollar la estrategia  AIEPI  en todos los municipios del deparatento del quindio</t>
  </si>
  <si>
    <t xml:space="preserve">FONDO LOCAL DE SALUD  - SGP </t>
  </si>
  <si>
    <t>Plan de intervenciones colectivas en el modelo de APS</t>
  </si>
  <si>
    <t>Evaluar en  once (11)   empresas sociales del estado (ESE)  Municipales la implementación del Plan de intervenciones colectivas (PIC).</t>
  </si>
  <si>
    <t>1803 - 5 - 3 1 3 12 45 2 150 - 61  /  1803 - 5 - 1 2 9 21 137 - 61</t>
  </si>
  <si>
    <t xml:space="preserve"> Asistencia atención a las personas y prioridades en salud pública en el  Departamento del Quindío.</t>
  </si>
  <si>
    <t>Disminución de la morbimortalidad asociada  a la carga de la enfermedad por los determinantes sociales fortaleciendo  las acciones de complementariedad  a los municipios</t>
  </si>
  <si>
    <t>Fortalecimiento  de monitoreo y evaluación de los planes, programas y estrategias orientadas a las actividades de promoción y prevención colectivas</t>
  </si>
  <si>
    <t>Fortalecimiento de la estrategia comunicación para influenciar comportamientos (combi)</t>
  </si>
  <si>
    <t>Auditoria a 8  planes de mejoramiento instaurados con la red pública ejecutora del Plan de Intervenciones Colectivas.</t>
  </si>
  <si>
    <t>Baja concurrencia de recursos económicos a los municipios</t>
  </si>
  <si>
    <t xml:space="preserve">
Convenios interadministrativos para la complementariedad con los municipios
</t>
  </si>
  <si>
    <t>Vigilancia en salud publica y del laboratorio departamental.</t>
  </si>
  <si>
    <t xml:space="preserve">Realizar  la vigilancia sanitaria a 300 establecimientos de consumo (Aguas, Alimentos y Bebidas Alcohólicas) </t>
  </si>
  <si>
    <t>1803 - 5 - 3 1 3 12 46 2 151 - 61  /  1803 - 5 - 1 2 9 21 126 - 61</t>
  </si>
  <si>
    <t xml:space="preserve">  Fortalecimiento de las actividades de vigilancia y control del laboratorio de salud pública en el Departamento del Quindio </t>
  </si>
  <si>
    <t xml:space="preserve">Fortalecimiento de la capacidad analítica del Laboratorio de Salud Pública Departamental  para dar respuesta  a las necesidades del Sistema de Vigilancia en Salud Pública (VSP) en el marco de la Seguridad Sanitaria (SS) en especial por la alta Incidencia de  afectados  por Enfermedad Diarreica Aguda –EDA-  y otros eventos          </t>
  </si>
  <si>
    <t xml:space="preserve"> Realizar a traves del Laboratorio de Salud Pública  las pruebas con enfoque de riesgo </t>
  </si>
  <si>
    <t>Fortalecimiento en la realización de pruebas y técnicos de laboratorio en E.N.O</t>
  </si>
  <si>
    <t>Mejoramiento de la infraestructura fisica del laboratorio de salud publica para dar respuesta a as necesidades del departamento..</t>
  </si>
  <si>
    <t>Ampliar la cobertura al 100% de la capacidda instlada y locativa del laboratorio departamental</t>
  </si>
  <si>
    <t>Clasificación entomológica de muestras de vectores</t>
  </si>
  <si>
    <t xml:space="preserve"> Adecuaciones técnicas en el laboratorio departamental  que minimicen los riesgos por derrames, contaminación o accidentes.</t>
  </si>
  <si>
    <t>crear diez (10) y fortalecer noventa (90) Comités de Vigilancia 
Epidemiológica  Comunitaria 
(COVECOM) municipales.</t>
  </si>
  <si>
    <t>1803 - 5 - 3 1 3 12 46 2 152 - 61  /  1803 - 5 - 1 2 9 21 127 - 61</t>
  </si>
  <si>
    <t xml:space="preserve"> Fortalecimiento del sistema de vigilancia en salud pública en el Departamento del Quindío.</t>
  </si>
  <si>
    <t>Altos índices de cumplimiento en los indicadores de calidad, cobertura y  oportunidad del sistema de vigilancia en salud publica departamental con  énfasis en la mortalidad por era en menores de 5 años</t>
  </si>
  <si>
    <t xml:space="preserve">Fortalecer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t>
  </si>
  <si>
    <t xml:space="preserve">Implementación del Sistema de Vigilancia Epidemiológica comunitaria en el contexto de los COVECOM en el nivel Departamental </t>
  </si>
  <si>
    <t>Apoyo en la activación y Mantenimiento de 90 COVECOM en los municipios del Departamento</t>
  </si>
  <si>
    <t>Gestionar y consolidar la notificación comunitaria de 11 municipios del Departamento del Quindío</t>
  </si>
  <si>
    <t>Sostener 83 Unidades Primarias Generadoras de Datos (UPGD) que integran el sistema de Vigilancia en Salud Publica</t>
  </si>
  <si>
    <t xml:space="preserve">Implementar el sistema de vigilancia epidemiológica comunitaria en los 12 Municvipios del Departamento, dando cumplimiento al proceso de notificación periódica según reglamentación Departamental
</t>
  </si>
  <si>
    <t>fortalecimiento  de los procesos de vigilancia epidemiológica institucional y municipal, por medio de la implementación y desarrollo del  plan de Asesoria y Asistencia técnica para la adherencia a protocolos de Vigilancia en Salud Pública de las enfermedades transmitidas por vectores y las zoonosis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</si>
  <si>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Infecciones de transmisión sexual, Maternidad Segura y vigilancia nutricional,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</si>
  <si>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Micobacterias,Infecciones asociadas a la atención en salud, resistencia a los antimicrobianos, consumo de antibióticos y las Infecciones Respiratorias Agudas,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</si>
  <si>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Enfermedades Crónicas no transmisibles, las intoxicaciones agudas por sustancias químicas y enfermedades huérfanas, en los 12 municipios del Departamento</t>
  </si>
  <si>
    <t>fortalecimiento de los procesos de vigilancia epidemiológica institucional y municipal, por medio de la implementación y desarrollo del  plan de Asesoria y Asistencia técnica para la realización de la Busqueda Activa Institucional  por medio de la herramienta SIANIESP y el apoyo estadístico para el manejo de las plataformas Nacionales.</t>
  </si>
  <si>
    <t xml:space="preserve">fortalecimiento de los procesos de vigilancia epidemiológica institucional y municipal, por medio de la implementación y desarrollo del  plan de Asesoria y Asistencia técnica para la operación del SIVIGILA y las acciones de campo en 5 municipios del Departamento </t>
  </si>
  <si>
    <t>Seguimiento en el proceso de gestión del riesgo individual, frente a las acciones de protección específica y deteccion temptrana desde el reporte del anexo tecnico de la resolucion 4505 de 2012 y el cumplimiento de la resolución 412 del 2000</t>
  </si>
  <si>
    <t>fortalecimiento de  los procesos de vigilancia epidemiológica institucional y municipal, por medio de la implementación y desarrollo del  plan de Asesoria y Asistencia técnica para la adherencia a protocolos de Vigilancia en Salud Pública de las enfermedades tranmitidas por alimentos, enfermedad diarreica aguda, hepatitis A y factores relcionados con riesgos sanitarios.</t>
  </si>
  <si>
    <t>convenio interadministrativo para el fortalecimiento de los procesos de confirmacion y analisis de informacion de los eventos de interes en salud publica de mayor impacto en el departamento del quindio</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</si>
  <si>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</si>
  <si>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</si>
  <si>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</si>
  <si>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 xml:space="preserve">1801 - 5 - 3 1 3 13 47 2 153 - 96  /  1801 - 5 - 3 1 3 13 48 2 153 - 100  /  1801 - 5 - 3 1 3 13 48 2 153 - 106  /  1801 - 5 - 3 1 3 13 48 2 153 - 64  /  1801 - 5 - 1 2 6 11 124 - 64  /  1801 - 5 - 1 2 6 11 124 - 71  /  </t>
  </si>
  <si>
    <t xml:space="preserve"> Subsidio afiliación al régimen subsidiado del Sistema General de Seguridad Social en Salud en el Departamento del Quindío.</t>
  </si>
  <si>
    <t xml:space="preserve">Mejoramiento en la  cobertura  universal  en  el aseguramiento  al sistema de atencion integral  para  la prestación de un mejor servicio de atencion a la poblacion del Departamento del Quindio
</t>
  </si>
  <si>
    <t xml:space="preserve">Mejorar los procesos de identificación de la población no sisbenizada y no afiliada.
</t>
  </si>
  <si>
    <t>Mejorar los procesos de identificación de la población no sisbenizada y no afiliada</t>
  </si>
  <si>
    <t xml:space="preserve">FONDO LOCAL DE SALUD  - RENTAS CEDIDAS  </t>
  </si>
  <si>
    <t xml:space="preserve"> 106 - 71 - 96 - 100 - 106 - 64 - 65 - 71 - 72</t>
  </si>
  <si>
    <t>HECTOR MARIO TABORDA</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</si>
  <si>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</si>
  <si>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</si>
  <si>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r>
      <t xml:space="preserve"> Gestion de recursos para cofinanciación de la afialicon  MPO</t>
    </r>
    <r>
      <rPr>
        <sz val="11"/>
        <color rgb="FFFF0000"/>
        <rFont val="Arial"/>
        <family val="2"/>
      </rPr>
      <t xml:space="preserve"> </t>
    </r>
    <r>
      <rPr>
        <sz val="11"/>
        <color theme="1"/>
        <rFont val="Arial"/>
        <family val="2"/>
      </rPr>
      <t xml:space="preserve">y lugares de afiliación
</t>
    </r>
  </si>
  <si>
    <r>
      <t xml:space="preserve"> Gestion de recursos para cofinanciación de la afialico</t>
    </r>
    <r>
      <rPr>
        <sz val="11"/>
        <rFont val="Arial"/>
        <family val="2"/>
      </rPr>
      <t>n  MPO</t>
    </r>
    <r>
      <rPr>
        <sz val="11"/>
        <color theme="1"/>
        <rFont val="Arial"/>
        <family val="2"/>
      </rPr>
      <t xml:space="preserve"> y lugares de afiliación
</t>
    </r>
  </si>
  <si>
    <t xml:space="preserve">FONDO LOCAL DE SALUD  - RENTAS CEDIDAS  - FONDO LOCAL DE SALUD  - LEY 1393 - FONDO LOCAL DE SALUD  - RECURSOS DE CAPITAL - NACION  </t>
  </si>
  <si>
    <t>Asistencia técnica  a los actores del sistema en el proceso de aseguramiento de la población</t>
  </si>
  <si>
    <t>Brindar asistencia técnica a 12 Municipios del departamento,  en los procesos del régimen subsidiado</t>
  </si>
  <si>
    <t xml:space="preserve"> Aumento en la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</si>
  <si>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</si>
  <si>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</si>
  <si>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</si>
  <si>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2 154 - 102  /  0318 - 5 - 3 1 3 14 50 2 154 - 35  / 1802 - 5 - 1 2 6 12 125 - 103  /  1802 - 5 - 1 2 6 12 125 - 104  /  1802 - 5 - 1 2 6 12 125 - 105  /  1802 - 5 - 1 2 6 12 125 - 58  /  1802 - 5 - 1 2 6 12 125 - 59  /  1802 - 5 - 1 2 6 12 125 - 60  /  1802 - 5 - 1 2 6 12 125 - 96  /  1802 - 5 - 3 1 3 14 50 2 154 - 105  /  1802 - 5 - 3 1 3 14 50 2 154 - 110  /  1802 - 5 - 3 1 3 14 50 2 154 - 121  /  1802 - 5 - 3 1 3 14 50 2 154 - 35  /  1802 - 5 - 3 1 3 14 50 2 154 - 58  /1802 - 5 - 3 1 3 14 50 2 154 - 59  /    1802 - 5 - 3 1 3 14 50 2 154 - 60  /  1802 - 5 - 3 1 3 14 50 2 154 - 72  /  1802 - 5 - 3 1 3 14 50 2 154 - 96  /  1802 - 5 - 3 1 3 14 50 2 154 - 97</t>
  </si>
  <si>
    <t xml:space="preserve"> 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</si>
  <si>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</si>
  <si>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 xml:space="preserve">Bajar los  indices de morbimortalidad en el Departamento.
</t>
  </si>
  <si>
    <t>realizar seguimiento vigilancia y control a los actores del sistema en lo referente al cumplimiento de la normatividad del sistema de seguridad social en salud</t>
  </si>
  <si>
    <t>102, 105, 110, 121, 35, 58, 59, 60, 72, 96, 92</t>
  </si>
  <si>
    <t>Mantener la contratación con la red pública y privada (15)  para la atención de la población no afiliada.</t>
  </si>
  <si>
    <t>Seguimiento, control e implementacion de las estrategias de atencion primaria en participacion con los actores del sistema en Salud del departamento del Quindio.</t>
  </si>
  <si>
    <t xml:space="preserve">Garantizar la gestion de Recursos por parte de los Entes territoriales.
</t>
  </si>
  <si>
    <t>Implementacion de Procesos referentes al manejo y auditoria de cuentas medicas-urgencias y recobros en el Departamento del Quindio</t>
  </si>
  <si>
    <t>FONDOLOCAL DE SALUD - RENTAS CEDIDAS</t>
  </si>
  <si>
    <t>Realizar asistencia técnica en la construcción y ejecución del plan bienal de inversiones, a catorce (14) Empresas sociales del estado (ESE) del departamento.</t>
  </si>
  <si>
    <t>establecer los procedimientos para la formulacion, presentacion, aprobacion, ajuste seguimiento ejecucion y control de los planes bienales de inversion publica en salud</t>
  </si>
  <si>
    <t>Prestacion de servicios en los NO POS, de la población afiliada al Régimen Subsidiado en el Departamento del Quindío</t>
  </si>
  <si>
    <t>Bajar los  indices de morbimortalidad en el Departamento.
Garantizar la gestion de Recursos por parte de los Entes territoriales</t>
  </si>
  <si>
    <t>SUPERAVIT LEY 1391</t>
  </si>
  <si>
    <t>58 - 71 - 72</t>
  </si>
  <si>
    <t>Fortalecimiento de la  gestión de la entidad territorial municipal</t>
  </si>
  <si>
    <t>Realizar asistencia Técnica  en los 12 municipios, en la capacidad de gestión en salud</t>
  </si>
  <si>
    <t>1802 - 5 - 3 1 3 14 51 2 155 - 72</t>
  </si>
  <si>
    <t xml:space="preserve"> Asistencia técnica para el fortalecimiento de la gestión de las entidades territoriales del Departamento del Quindio </t>
  </si>
  <si>
    <t xml:space="preserve">Apoyo en el proceso de articulacion y competencias territoriarles en el SGSS
</t>
  </si>
  <si>
    <t xml:space="preserve">Fortalecimiento en los procesos de financiacion a los municpios para ejercer procesos de afiliacion y atencion al SGSS
</t>
  </si>
  <si>
    <t>Fortalecimiento en los procesos de financiacion a los municpios para ejercer procesos de afiliacion y atencion al SGSS</t>
  </si>
  <si>
    <t>Conocimiento en los procesos de gestion tecnica en salud</t>
  </si>
  <si>
    <t>Garantizar red de servicios en eventos de emergencias</t>
  </si>
  <si>
    <t xml:space="preserve">Ajustar los 14 planes de emergencia de las instituciones prestadoras de salud de todo el Departamento.  </t>
  </si>
  <si>
    <t>1802 - 5 - 3 1 3 14 52 2 156 - 72</t>
  </si>
  <si>
    <t xml:space="preserve">  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</si>
  <si>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</si>
  <si>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Fortalecer el compromiso y conocimiento de la norma  para la preparacion en casos de emergencias parte de las ESES del Departametno y los entes desentralizados
</t>
  </si>
  <si>
    <t>Apoyo en el proceso de implementacion del desarrollo en simulacros de atencion a emercias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</si>
  <si>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</si>
  <si>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</si>
  <si>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</si>
  <si>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</si>
  <si>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</si>
  <si>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0318 - 5 - 3 1 3 14 52 2 157 - 20</t>
  </si>
  <si>
    <t xml:space="preserve">  Fortalecimiento de la red de urgencias y emergencias en el Departamento del Quindio </t>
  </si>
  <si>
    <t>Fortalecimiento  en la integración de  la red hospitalaria  del departamento del  Quindío. Mediante la modernización del CRUE en el departamento del Quindío</t>
  </si>
  <si>
    <t>Mejorar la  oportunidad en la  respuesta ante una emergencia en   salud  del departamento del Quindío</t>
  </si>
  <si>
    <t>Mejorar la  oportunidad en la  respuesta ante una emergencia en   salud  del departamento del Quindío Y articular el proceso de  planeación de los actores involucrados</t>
  </si>
  <si>
    <t>20 - 50</t>
  </si>
  <si>
    <t>FONDOLOCAL DE SALUD - RENTAS CEDIDAS - RECURSO ORDINARIO</t>
  </si>
  <si>
    <t>Articular el proceso de  planeación de los actores involucrados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</si>
  <si>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</si>
  <si>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</si>
  <si>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</si>
  <si>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 xml:space="preserve"> Apoyo al proceso del sistema obligatorio de garantía de calidad a los prestadores de salud en el Departamento del Quindio.</t>
  </si>
  <si>
    <t xml:space="preserve">Adecuada Implementacion del plan de Auditoria para el mejoramiento de la Calidad y cumplimiento de los estandares de Verificacion 
</t>
  </si>
  <si>
    <t xml:space="preserve">Adecuados procesos de implementacion, auditoria y seguimiento.
</t>
  </si>
  <si>
    <t xml:space="preserve">Acompañamiento en la verificacion y evaluacion del  proceso PAMEC </t>
  </si>
  <si>
    <t>Cumpliemiento de los procesos de certificacion en calidad</t>
  </si>
  <si>
    <t>Verificacion de los procesos de calidad</t>
  </si>
  <si>
    <t>Servicios tecnicos para acompañamiento a los procesos PAMEC</t>
  </si>
  <si>
    <t>Realizar visitas de verificación de los requisitos de habilitación a 150 prestadores de servicios de salud.</t>
  </si>
  <si>
    <t>Realizar visitas de verificación de los requisitos de habilitación prestadores de servicios de salud</t>
  </si>
  <si>
    <t>Fortalecimiento financiero de la red de servicios publica</t>
  </si>
  <si>
    <t>Evaluar semestralmente los indicadores de monitoreo del sistema de catorce (14) ESE´s del nivel I, II y III</t>
  </si>
  <si>
    <t>1802 - 5 - 3 1 3 14 54 2 159 - 72</t>
  </si>
  <si>
    <t xml:space="preserve">  Fortalecimiento de la red de prestación de servicios pública  del Departamento del Quindío</t>
  </si>
  <si>
    <t xml:space="preserve">Apoyo y seguimiento al proceso de reporte, vigilancia y control en el manejo de los recursos de salud en el Departamento del Quindio
</t>
  </si>
  <si>
    <t xml:space="preserve">Fortalecimiento  en los procesos financienros  del Sector Salud en el Departamento del Quindio. 
</t>
  </si>
  <si>
    <t>Fortalecimiento  en los procesos financienros  del Sector Salud en el Departamento del Quindio</t>
  </si>
  <si>
    <t xml:space="preserve">Adecuados procesos para la auditoria en el flujo de recursos de las IPS 
</t>
  </si>
  <si>
    <t xml:space="preserve">Adecuados procesos para la auditoria en el flujo de recursos de las IPS  </t>
  </si>
  <si>
    <t>Apoyar 2 programas  de saneamiento fiscal y financiero a las IPS categorizadas en riesgo por el Ministerio de Salud</t>
  </si>
  <si>
    <t>Auditoria financiera a los fondos locales de salud</t>
  </si>
  <si>
    <t>Gestión Posible</t>
  </si>
  <si>
    <t>Apoyo y Fortalecimiento Institucional</t>
  </si>
  <si>
    <t>Evaluar los municipios de Armenia y Calarcá que se encuentran  certificados en salud</t>
  </si>
  <si>
    <t>1804 - 5 - 3 1 3 15 55 2 160 - 72</t>
  </si>
  <si>
    <t xml:space="preserve"> Apoyo Operativo a la inversión social en salud en el Departamento del Quindio</t>
  </si>
  <si>
    <t xml:space="preserve">Incrementar el porcentaje de apoyo de la dirección estratégica en los procesos administrativos y misionales de la secretaria de salud
</t>
  </si>
  <si>
    <t xml:space="preserve">Mejorar la operatividad de los procesos administrativos, misionales y estratégicos de la secretaria de salud
</t>
  </si>
  <si>
    <t xml:space="preserve">realizar visitas para evaluacion de la capacidad de gestion y renovacion de la certificacion como municipios desentralizados en salud  </t>
  </si>
  <si>
    <t>116- 72</t>
  </si>
  <si>
    <t>CECILIA INES JARAMILLO</t>
  </si>
  <si>
    <t>Lograr que los procesos misionales y estratégicos de la Secretaría de Salud, que así lo requieran cuente con el apoyo y gestión de la Dirección Estratégica.</t>
  </si>
  <si>
    <t>Seguimiento evaluación y ajuste de los procesos estratégicos, misionales y de apoyo de la secretaria de salud</t>
  </si>
  <si>
    <t>Sistematización y adquisición de datos</t>
  </si>
  <si>
    <t>Control y seguimiento al vencimiento de los términos de respuesta de los PQRS atendidos por la Dirección  de Prevención, vigilancia y control y la Dirección de Calidad y Prestación de Servicios</t>
  </si>
  <si>
    <t>Seguimiento y evaluación a los procesos contractuales en cumplimiento de las disposiciones legales en materia de salud</t>
  </si>
  <si>
    <t>Seguimiento y evaluación de cumplimiento de las disposiciones legales en materia de salud</t>
  </si>
  <si>
    <t>Verificación, seguimiento y control trimestral a la ejecución presupuestal de los recursos del Sector Salud</t>
  </si>
  <si>
    <t xml:space="preserve">generra los informes de ejecucion mensual  de gastos de la secretaria de salud </t>
  </si>
  <si>
    <t xml:space="preserve">CESAR AUGUSTO RINCON ZULUAGA </t>
  </si>
  <si>
    <t>SECRETARIA DE SALUD DEPARTAMENTAL</t>
  </si>
  <si>
    <t>META PRODUCTO PLAN DE DESARROLLO</t>
  </si>
  <si>
    <t>META FISICA 2016</t>
  </si>
  <si>
    <t xml:space="preserve">NOMBRE DEL PROYECTO </t>
  </si>
  <si>
    <t xml:space="preserve">VALOR META </t>
  </si>
  <si>
    <t>VALOR ACTIVIDADES</t>
  </si>
  <si>
    <t>18-62</t>
  </si>
  <si>
    <t>Apoyo al deporte asociado</t>
  </si>
  <si>
    <t xml:space="preserve"> Ligas deportivas del departamento del Quindío</t>
  </si>
  <si>
    <t xml:space="preserve">Apoyar  y fortalecer veintitrés (23) ligas deportivas   </t>
  </si>
  <si>
    <t>0344332068-12</t>
  </si>
  <si>
    <t>Apoyo al deporte asociado en el Departamento del Quindio</t>
  </si>
  <si>
    <t xml:space="preserve">Apoyar  a los deportistas convencionales y no convencionales de reserva y altos logros para el posesionamiento del deporte a nivel  nacional e internacional departamento del Quindío  </t>
  </si>
  <si>
    <t xml:space="preserve">Ejecutar  acciones que fortalezcan el area administrativa y tecnica de los  clubes y ligas . .deportivas </t>
  </si>
  <si>
    <t xml:space="preserve">Realizar acompañamiento y asesoria a las Ligas y clubes del Departamento </t>
  </si>
  <si>
    <t>Otros (Iva Cedido Licores - Registro)</t>
  </si>
  <si>
    <t>Recurso Ordinario- Iva Cedido</t>
  </si>
  <si>
    <t>WILMAN MACIAS  Q- IVAN DARIO CASTAÑEDA</t>
  </si>
  <si>
    <t>OLGA LUCIA FERNANDEZ CARDENAS - GERENTE INDEPORTES</t>
  </si>
  <si>
    <t>apoyar  a veinte  (20) deportistas en nivel de talento, de proyección y de altos logros con el programa de incentivos económicos a deportistas.</t>
  </si>
  <si>
    <t xml:space="preserve"> 0344332068-3</t>
  </si>
  <si>
    <t>Generar estrategias que descentralicen los organos deportivos del Departamento</t>
  </si>
  <si>
    <t xml:space="preserve">Apoyo a Deportistas de altos Logros y Reserva Deportiva </t>
  </si>
  <si>
    <t>044338143-12</t>
  </si>
  <si>
    <t>Apoyo al rescate del deporte asociado orientado a altos logros en el Departamento del Quindío.</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</si>
  <si>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</si>
  <si>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Posicionar al departamento en los resultados de ciclo olímpico partiendo desde la base.</t>
  </si>
  <si>
    <t>Recurso Ordinario-Otros (Iva Cedido Licores - Registro)</t>
  </si>
  <si>
    <t>044338143-3</t>
  </si>
  <si>
    <t>Apoyo a las Ligas Deportivas en el Departamento Quindío.</t>
  </si>
  <si>
    <t>044339144-12</t>
  </si>
  <si>
    <t>Apoyo a las ligas con capacidades especiales en el Departamento del Quindío.</t>
  </si>
  <si>
    <t>Apoyar organizaciones de base comunitario y deporte asociado.</t>
  </si>
  <si>
    <t>Recursos Ordinarios- Otros (Iva Cedido Licores - Registro)</t>
  </si>
  <si>
    <t>Apoyo a eventos deportivos</t>
  </si>
  <si>
    <t>Apoyar trece (13)  ligas en   los eventos deportivos de carácter federado  nacional y departamental.</t>
  </si>
  <si>
    <t>0344332969-3</t>
  </si>
  <si>
    <t>Apoyar  a los deportistas convencionales y no convencionales de reserva y altos logros para el posesionamiento del deporte a nivel  nacional e internacional departamento del  Quindio</t>
  </si>
  <si>
    <t>Generar estrategias que descentralicen los organos deportivos del Departamento|</t>
  </si>
  <si>
    <t xml:space="preserve">OLGA LUCIA FERNANDEZ CARDENAS - GERENTE INDEPORTES </t>
  </si>
  <si>
    <t xml:space="preserve"> Juegos intercolegiados </t>
  </si>
  <si>
    <t>Desarrollar cuatro (4) juegos Intercolegiados  en sus diferentes fases.</t>
  </si>
  <si>
    <t>Apoyo a los juegos intercolegiados en el Deparrtamento del Quindìo</t>
  </si>
  <si>
    <t>Generar espacios de sana competencia a las Instituciones Educativas para el reconocimiento deportivo de los niños y niñas del Departamento del Quindio</t>
  </si>
  <si>
    <t xml:space="preserve">Creacion de espacios de formacion y competencia deportiva escolar </t>
  </si>
  <si>
    <t>Desarrollar un (1) juegos Intercolegiados  en sus diferentes fases.</t>
  </si>
  <si>
    <t>0344332070-3</t>
  </si>
  <si>
    <t>044337142-3</t>
  </si>
  <si>
    <t>Apoyo a los JUEGOS INTERCOLEGIADOS y eventos deportivos en el Departamento del Quindío.</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</si>
  <si>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</si>
  <si>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 Apoyar la promoción del deporte y la recreación y su reconocimiento.</t>
  </si>
  <si>
    <t>Crear y desarrollar una estrategia para articular la actividad recreativa social comunitaria desde la primera infancia hasta las personas mayores.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</si>
  <si>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</si>
  <si>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</si>
  <si>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0344332071-3</t>
  </si>
  <si>
    <t xml:space="preserve"> Apoyo al Deporte formativo, deporte social comunitario y juegos  tradicionales en el Departamento del Quindío</t>
  </si>
  <si>
    <t xml:space="preserve">Apoyar la creacion de  espacios de formacion y maxificacion deportiva  en el Departamento del Quindio  </t>
  </si>
  <si>
    <t xml:space="preserve">Fortalecer los Municipios y Ligas Deportivas en la creacion y Desarrollo de Escuelas Deportivas y Desarrollo Eventos </t>
  </si>
  <si>
    <t xml:space="preserve">Asesorar  los doce (12) municipios del departamento del Quindío </t>
  </si>
  <si>
    <t>GLORIA INES HERRERA FRANCO</t>
  </si>
  <si>
    <t>Desarrollar  4 eventos de deporte social y comunitario.</t>
  </si>
  <si>
    <t>Promover el aprovechamiento del tiempo libre mediante la  práctica  del  deporte formativo para el   desarrollo  físico  e  integración de la comunidad .</t>
  </si>
  <si>
    <t>Realizacion de un evento de deporte social y comunitario.</t>
  </si>
  <si>
    <t>Apoyar  técnicamente un 1  evento de  Juegos Comunales en la fase Departamental</t>
  </si>
  <si>
    <t xml:space="preserve"> Apoyar  eventos y torneos deportivos y recreativos, que promuevan la sana competencia en la comunidad</t>
  </si>
  <si>
    <t xml:space="preserve">Apoyar un evento de  Juegos Comunales </t>
  </si>
  <si>
    <t xml:space="preserve"> Si Recreación y actividad física para ti</t>
  </si>
  <si>
    <t>Recreación,  para el Bien Común</t>
  </si>
  <si>
    <t>Apoyar de forma articulada el desarrollo del programa (1) "Campamentos Juveniles"</t>
  </si>
  <si>
    <t>0345332172-3</t>
  </si>
  <si>
    <t xml:space="preserve"> Apoyo a la Recreación,  para el Bien Común en el Departamento del Quindío</t>
  </si>
  <si>
    <t>Generar alternativas  que  permitan el buen uso del  del  tiempo libre  de los  diferentes grupos poblacionales (primera infancia, infancia, adolescencia, juventud, personas mayores y personas discapacitadas) que habitan en el Departamento del Quindio .</t>
  </si>
  <si>
    <t>Generar espacios de ocio y recreación, tendientes a la ocupación del tiempo libre y al fomento de valores y normas para que nuestros niños y jóvenes se desempañen mejor dentro de la sociedad</t>
  </si>
  <si>
    <t>Apoyo tecnico y logistico campamento juveniles</t>
  </si>
  <si>
    <t>MANUEL ANTONIO RODRIGUEZ Q</t>
  </si>
  <si>
    <t>Apoyar de forma articulada el programa nuevo comienzo "Otro Motivo para Vivir" (1).</t>
  </si>
  <si>
    <t>Apoyo tecnico y logistico nuevo comienzo</t>
  </si>
  <si>
    <t xml:space="preserve">Afianzar valores a través de  actividades recreativas, ecológicas, culturales y deportivas. </t>
  </si>
  <si>
    <t>Apoyo tecnico y logistico primera infancia hasta el adulto mayor.</t>
  </si>
  <si>
    <t>0444410145-3</t>
  </si>
  <si>
    <t>Apoyo a la recreación base social en el Departamento del Quindío.</t>
  </si>
  <si>
    <t>Promover la educación ciudadana y juegos de roles desde la institución educativa y la familia, a partir de los diferentes ciclos vitales y grupos poblacionales priorizados por nivel de vulnerabilidad y enfoque diferencial, generando alternativas de inclusión social mediante el deporte y la recreación.</t>
  </si>
  <si>
    <t xml:space="preserve"> Actividad física, hábitos y estilos de vida saludables</t>
  </si>
  <si>
    <t xml:space="preserve">implementar un (1) programa que permita ejecutar proyectos  de actividad física para la promoción de hábitos y estilos de vida saludables </t>
  </si>
  <si>
    <t>0345332173-12</t>
  </si>
  <si>
    <t>Apoyo al Programa de actividad fìsica, hàbitos y estilos de vida saludables "Palpita Quindìo, por un Quindìo saludable"</t>
  </si>
  <si>
    <t>Falta de  implementacion de programas en actividad fisica en el departamento del Quindio</t>
  </si>
  <si>
    <t xml:space="preserve">Estructurar y fortalecer redes  de actividad física en los municipios, que promuevan y fomenten cambios en los hábitos de movilidad de las comunidades. </t>
  </si>
  <si>
    <t>Otros (Iva Cedido Licores - Registro)- Recurso Ordinario</t>
  </si>
  <si>
    <t>MANUEL ANTONIO RODRIGUEZ QUINTERO</t>
  </si>
  <si>
    <t>Apoyo a la actividad fisica, salud y productividad en el Departamento del Quindio.</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</si>
  <si>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</si>
  <si>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</si>
  <si>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</si>
  <si>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Apoyo a proyectos deportivos, recreativos y de actividad fisica, en el Departamento del Quindìo</t>
  </si>
  <si>
    <t xml:space="preserve"> Acompañar los Municipios del Departamento del Quindio en  la priorizacion y  ejecucion de los recursos correspondientes a  IVA a la telefonia Movil.</t>
  </si>
  <si>
    <t xml:space="preserve">Asesorar  y hacer seguimiento a los Municipios del Departamento del Quindio  en los procesos de  implementacion de </t>
  </si>
  <si>
    <t>SANDRA YELITZA CASTELBLANCO CELIS</t>
  </si>
  <si>
    <t xml:space="preserve">OLGA LUCIA FERNANDEZ </t>
  </si>
  <si>
    <t>GERENTE</t>
  </si>
  <si>
    <t>Infraestructura Sostenible para la Paz</t>
  </si>
  <si>
    <t>Mejora de la Infraestructura Vial del Departamento del Quindío</t>
  </si>
  <si>
    <t>km</t>
  </si>
  <si>
    <t>3.1.1</t>
  </si>
  <si>
    <t>Apoyo en la formulación y ejecución de proyectos de vivienda, infraestructura y equipamientos colectivos y comunitarios</t>
  </si>
  <si>
    <t>Disminuir el porcentaje de personas en situación de pobreza en el Departamento del Quindio.</t>
  </si>
  <si>
    <t xml:space="preserve">Desarrollo de Programas y Proyectos, en los componentes de vivienda, infraestructura, equipamiento colectivo y comunitario.
</t>
  </si>
  <si>
    <t xml:space="preserve">Mejoramiento y/o rehabilitación de vías en el Departamento </t>
  </si>
  <si>
    <t>IR</t>
  </si>
  <si>
    <t>55583</t>
  </si>
  <si>
    <t>EPD
IR</t>
  </si>
  <si>
    <t xml:space="preserve">HERNAN MAURICIO CAÑAS PIEDRAHITA
JULIAN DAVID OSPINA LONDOÑO
NAZLY NATHALY SALAZAR HEYNE
VANESA FONSECA VEGA
LAURA JULIANA TORO LOPEZ
JUAN VICENTE URIBE MELENDEZ
EDUARDO MUÑOZ SIERRA
</t>
  </si>
  <si>
    <t>HERNAN MAURICIO CAÑAS PIEDRAHITA - GERENTE PROMOTORA DE VIVIENDA Y DESARROLLO DEL QUINDIO</t>
  </si>
  <si>
    <t>Apoyar la construcción y  el mejoramiento de mil (1000) viviendas urbana y rural priorizada en el Departamento del Quindío.</t>
  </si>
  <si>
    <t>3.1.2-3.1.3</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</si>
  <si>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</si>
  <si>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</si>
  <si>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Construcción y/o mejoramiento de Vivienda (obras sanitarias)</t>
  </si>
  <si>
    <t>EPD</t>
  </si>
  <si>
    <t>Construcción, mejoramiento y/o rehabilitación de escenarios deportivos y/o recreativos</t>
  </si>
  <si>
    <t>Mejoramiento y rehabilitación la Infraestructura educativa</t>
  </si>
  <si>
    <t>Apoyar la construcción, el mantenimiento, el mejoramiento y/o la rehabilitación de la infraestructura de dos (2) equipamientos públicos y colectivos del Departamento del Quindío.</t>
  </si>
  <si>
    <t>Construcción y/o mantenimiento de equipamientos públicos y colectivos</t>
  </si>
  <si>
    <t>TOTAL</t>
  </si>
  <si>
    <t>HERNAN MAURICIO CAÑAS PIEDRAHITA</t>
  </si>
  <si>
    <t xml:space="preserve"> GERENTE PROMOTORA DE VIVIENDA Y DESARROLLO DEL QUINDIO</t>
  </si>
  <si>
    <t>&lt;</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</si>
  <si>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</si>
  <si>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</si>
  <si>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</si>
  <si>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</si>
  <si>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número de lesiones fatales y graves por accidentes de tránsito, en la población, a través de planes y programas institucionales para mejorar las condiciones de vida de la población de los municipios de la jurisdicción del instituto</t>
  </si>
  <si>
    <t>1. Disminuir  los riesgos de accidentes en las vias mediante la formulacion e implementacion de planes y programas de seguridad vial para el mejorameiento de las condiciones de vida de la poblacion en  la jurisdiccion del I.D.T.Q.    2. Generear oportunidadesinstitucionales a través de procesos de gestion orientados a insentivar programas de movilidad sostenible en la jurisdiccion del I.D.T.Q</t>
  </si>
  <si>
    <t>Realizar inventario, diagnostico situacional y diseño del programa de señalización vial</t>
  </si>
  <si>
    <t>RECURSOS PROPIOS-SEÑALIZACION Y EDUCACION VIAL</t>
  </si>
  <si>
    <t>13437</t>
  </si>
  <si>
    <t>19816</t>
  </si>
  <si>
    <t>5665</t>
  </si>
  <si>
    <t>17786</t>
  </si>
  <si>
    <t>46467</t>
  </si>
  <si>
    <t>15954</t>
  </si>
  <si>
    <t>FERNANDO BAENA VILLARREAL-DIRECTOR</t>
  </si>
  <si>
    <t>FERNANDO BAENA VILLAREAL  - INSTITUTO DEPARTAMENTAL DE TRANSITO DEL QUINDIO</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</si>
  <si>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</si>
  <si>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</si>
  <si>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</si>
  <si>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</si>
  <si>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Campañas de difusión y sensibilización a la población del Programa Nacional de ciclorutas</t>
  </si>
  <si>
    <t>FERNANDO BAENA VILLAREAL</t>
  </si>
  <si>
    <t>INSTITUTO DEPARTAMENTAL DE TRANSITO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</si>
</sst>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5" formatCode="&quot;$&quot;\ #,##0_);\(&quot;$&quot;\ #,##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 #,##0.00_-;\-* #,##0.00_-;_-* &quot;-&quot;??_-;_-@_-"/>
    <numFmt numFmtId="167" formatCode="_ [$€-2]\ * #,##0.00_ ;_ [$€-2]\ * \-#,##0.00_ ;_ [$€-2]\ * &quot;-&quot;??_ "/>
    <numFmt numFmtId="168" formatCode="_(* #,##0_);_(* \(#,##0\);_(* &quot;-&quot;??_);_(@_)"/>
    <numFmt numFmtId="169" formatCode="dd/mm/yy;@"/>
    <numFmt numFmtId="170" formatCode="&quot;$&quot;\ #,##0"/>
    <numFmt numFmtId="171" formatCode="_ &quot;$&quot;\ * #,##0.00_ ;_ &quot;$&quot;\ * \-#,##0.00_ ;_ &quot;$&quot;\ * &quot;-&quot;??_ ;_ @_ "/>
    <numFmt numFmtId="172" formatCode="_-* #,##0_-;\-* #,##0_-;_-* &quot;-&quot;??_-;_-@_-"/>
    <numFmt numFmtId="173" formatCode="_-* #,##0.00\ &quot;€&quot;_-;\-* #,##0.00\ &quot;€&quot;_-;_-* &quot;-&quot;??\ &quot;€&quot;_-;_-@_-"/>
    <numFmt numFmtId="174" formatCode="00"/>
    <numFmt numFmtId="175" formatCode="_(&quot;$&quot;\ * #,##0_);_(&quot;$&quot;\ * \(#,##0\);_(&quot;$&quot;\ * &quot;-&quot;??_);_(@_)"/>
    <numFmt numFmtId="176" formatCode="_-* #,##0.0_-;\-* #,##0.0_-;_-* &quot;-&quot;_-;_-@_-"/>
    <numFmt numFmtId="177" formatCode="&quot;$&quot;#,##0.00"/>
    <numFmt numFmtId="178" formatCode="[$$-240A]\ #,##0"/>
    <numFmt numFmtId="179" formatCode="&quot;$&quot;#,##0"/>
    <numFmt numFmtId="180" formatCode="0.0"/>
    <numFmt numFmtId="181" formatCode="dd/mm/yyyy;@"/>
    <numFmt numFmtId="182" formatCode="#,##0.00_);\-#,##0.00"/>
    <numFmt numFmtId="183" formatCode="&quot;$&quot;\ #,##0.00"/>
    <numFmt numFmtId="184" formatCode="0_ ;\-0\ "/>
    <numFmt numFmtId="185" formatCode="#,##0_ ;\-#,##0\ "/>
    <numFmt numFmtId="186" formatCode="[$$-240A]\ #,##0.00"/>
    <numFmt numFmtId="187" formatCode="_([$$-240A]\ * #,##0_);_([$$-240A]\ * \(#,##0\);_([$$-240A]\ * &quot;-&quot;_);_(@_)"/>
    <numFmt numFmtId="188" formatCode="#,##0.00_ ;\-#,##0.00\ "/>
    <numFmt numFmtId="189" formatCode="_-* #,##0.00_-;\-* #,##0.00_-;_-* &quot;-&quot;_-;_-@_-"/>
    <numFmt numFmtId="190" formatCode="0.0%"/>
    <numFmt numFmtId="191" formatCode="_-[$$-240A]* #,##0_-;\-[$$-240A]* #,##0_-;_-[$$-240A]* &quot;-&quot;_-;_-@_-"/>
    <numFmt numFmtId="192" formatCode="_-[$$-240A]* #,##0.00_-;\-[$$-240A]* #,##0.00_-;_-[$$-240A]* &quot;-&quot;??_-;_-@_-"/>
    <numFmt numFmtId="193" formatCode="_([$$-240A]\ * #,##0.00_);_([$$-240A]\ * \(#,##0.00\);_([$$-240A]\ * &quot;-&quot;??_);_(@_)"/>
    <numFmt numFmtId="194" formatCode="#,##0.00;[Red]#,##0.00"/>
    <numFmt numFmtId="195" formatCode="#,##0;[Red]#,##0"/>
    <numFmt numFmtId="196" formatCode="&quot;$&quot;\ #,##0.00;[Red]&quot;$&quot;\ #,##0.00"/>
    <numFmt numFmtId="197" formatCode="#,##0.0_ ;\-#,##0.0\ "/>
    <numFmt numFmtId="198" formatCode="_-* #,##0.000_-;\-* #,##0.000_-;_-* &quot;-&quot;_-;_-@_-"/>
  </numFmts>
  <fonts count="46" x14ac:knownFonts="1">
    <font>
      <sz val="11"/>
      <color theme="1"/>
      <name val="Calibri"/>
      <family val="2"/>
      <scheme val="minor"/>
    </font>
    <font>
      <sz val="11"/>
      <color theme="1"/>
      <name val="Arial"/>
      <family val="2"/>
    </font>
    <font>
      <sz val="11"/>
      <color indexed="8"/>
      <name val="Calibri"/>
      <family val="2"/>
    </font>
    <font>
      <b/>
      <sz val="11"/>
      <color theme="1"/>
      <name val="Arial"/>
      <family val="2"/>
    </font>
    <font>
      <sz val="11"/>
      <color theme="1"/>
      <name val="Calibri"/>
      <family val="2"/>
      <scheme val="minor"/>
    </font>
    <font>
      <sz val="11"/>
      <color rgb="FF000000"/>
      <name val="Calibri"/>
      <family val="2"/>
    </font>
    <font>
      <sz val="10"/>
      <name val="Arial"/>
      <family val="2"/>
    </font>
    <font>
      <sz val="11"/>
      <name val="Arial"/>
      <family val="2"/>
    </font>
    <font>
      <sz val="11"/>
      <color rgb="FF000000"/>
      <name val="Arial"/>
      <family val="2"/>
    </font>
    <font>
      <b/>
      <sz val="11"/>
      <color indexed="8"/>
      <name val="Arial"/>
      <family val="2"/>
    </font>
    <font>
      <b/>
      <sz val="11"/>
      <color rgb="FF000000"/>
      <name val="Arial"/>
      <family val="2"/>
    </font>
    <font>
      <b/>
      <sz val="11"/>
      <name val="Arial"/>
      <family val="2"/>
    </font>
    <font>
      <sz val="11"/>
      <color rgb="FFFF0000"/>
      <name val="Arial"/>
      <family val="2"/>
    </font>
    <font>
      <b/>
      <sz val="11"/>
      <color rgb="FFFF0000"/>
      <name val="Arial"/>
      <family val="2"/>
    </font>
    <font>
      <sz val="11"/>
      <color rgb="FFFF0000"/>
      <name val="Calibri"/>
      <family val="2"/>
      <scheme val="minor"/>
    </font>
    <font>
      <sz val="11"/>
      <name val="Times New Roman"/>
      <family val="1"/>
    </font>
    <font>
      <b/>
      <sz val="10"/>
      <color indexed="8"/>
      <name val="Arial"/>
      <family val="2"/>
    </font>
    <font>
      <sz val="11"/>
      <color rgb="FFFF0000"/>
      <name val="Calibri"/>
      <family val="2"/>
    </font>
    <font>
      <sz val="10"/>
      <color indexed="8"/>
      <name val="MS Sans Serif"/>
    </font>
    <font>
      <b/>
      <sz val="16"/>
      <color indexed="8"/>
      <name val="Times New Roman"/>
      <family val="1"/>
    </font>
    <font>
      <sz val="11"/>
      <color indexed="8"/>
      <name val="Arial"/>
      <family val="2"/>
    </font>
    <font>
      <sz val="10"/>
      <color indexed="8"/>
      <name val="Times New Roman"/>
      <family val="1"/>
    </font>
    <font>
      <b/>
      <sz val="10"/>
      <color rgb="FFFF0000"/>
      <name val="Times New Roman"/>
      <family val="1"/>
    </font>
    <font>
      <sz val="11"/>
      <color rgb="FFFF0000"/>
      <name val="Times New Roman"/>
      <family val="1"/>
    </font>
    <font>
      <b/>
      <sz val="14"/>
      <color theme="1"/>
      <name val="Arial"/>
      <family val="2"/>
    </font>
    <font>
      <b/>
      <sz val="14"/>
      <color rgb="FFFF0000"/>
      <name val="Arial"/>
      <family val="2"/>
    </font>
    <font>
      <sz val="14"/>
      <color theme="1"/>
      <name val="Arial"/>
      <family val="2"/>
    </font>
    <font>
      <sz val="12"/>
      <color theme="1"/>
      <name val="Arial"/>
      <family val="2"/>
    </font>
    <font>
      <sz val="11"/>
      <color indexed="8"/>
      <name val="Times New Roman"/>
      <family val="1"/>
    </font>
    <font>
      <sz val="10"/>
      <color theme="1"/>
      <name val="Arial"/>
      <family val="2"/>
    </font>
    <font>
      <b/>
      <sz val="10"/>
      <color theme="1"/>
      <name val="Arial"/>
      <family val="2"/>
    </font>
    <font>
      <b/>
      <sz val="10"/>
      <color rgb="FFFF0000"/>
      <name val="Arial"/>
      <family val="2"/>
    </font>
    <font>
      <sz val="9"/>
      <color indexed="8"/>
      <name val="Arial"/>
      <family val="2"/>
    </font>
    <font>
      <b/>
      <sz val="11"/>
      <color indexed="8"/>
      <name val="Times New Roman"/>
      <family val="1"/>
    </font>
    <font>
      <b/>
      <sz val="11"/>
      <color rgb="FFFF0000"/>
      <name val="Times New Roman"/>
      <family val="1"/>
    </font>
    <font>
      <sz val="11"/>
      <name val="Calibri"/>
      <family val="2"/>
      <scheme val="minor"/>
    </font>
    <font>
      <b/>
      <sz val="9"/>
      <color theme="1"/>
      <name val="Arial"/>
      <family val="2"/>
    </font>
    <font>
      <b/>
      <sz val="9"/>
      <color rgb="FFFF0000"/>
      <name val="Arial"/>
      <family val="2"/>
    </font>
    <font>
      <sz val="12"/>
      <name val="Arial"/>
      <family val="2"/>
    </font>
    <font>
      <sz val="10"/>
      <color rgb="FFFF0000"/>
      <name val="Arial"/>
      <family val="2"/>
    </font>
    <font>
      <sz val="12"/>
      <color rgb="FFFF0000"/>
      <name val="Arial"/>
      <family val="2"/>
    </font>
    <font>
      <sz val="11"/>
      <color indexed="10"/>
      <name val="Arial"/>
      <family val="2"/>
    </font>
    <font>
      <sz val="10"/>
      <color rgb="FFFF0000"/>
      <name val="Times New Roman"/>
      <family val="1"/>
    </font>
    <font>
      <sz val="10"/>
      <color indexed="8"/>
      <name val="MS Sans Serif"/>
      <family val="2"/>
    </font>
    <font>
      <sz val="10"/>
      <color indexed="8"/>
      <name val="Arial"/>
      <family val="2"/>
    </font>
    <font>
      <b/>
      <sz val="9"/>
      <color indexed="8"/>
      <name val="Times New Roman"/>
      <family val="1"/>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FF"/>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DBDBDB"/>
        <bgColor rgb="FF000000"/>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E2E2E2"/>
        <bgColor indexed="64"/>
      </patternFill>
    </fill>
    <fill>
      <patternFill patternType="solid">
        <fgColor rgb="FFDBDBDB"/>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auto="1"/>
      </top>
      <bottom style="medium">
        <color auto="1"/>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2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9" fontId="4" fillId="0" borderId="0" applyFont="0" applyFill="0" applyBorder="0" applyAlignment="0" applyProtection="0"/>
    <xf numFmtId="171" fontId="5" fillId="0" borderId="0"/>
    <xf numFmtId="43" fontId="2" fillId="0" borderId="0" applyFont="0" applyFill="0" applyBorder="0" applyAlignment="0" applyProtection="0"/>
    <xf numFmtId="166" fontId="4" fillId="0" borderId="0" applyFont="0" applyFill="0" applyBorder="0" applyAlignment="0" applyProtection="0"/>
    <xf numFmtId="167" fontId="4" fillId="0" borderId="0"/>
    <xf numFmtId="173" fontId="2" fillId="0" borderId="0" applyFont="0" applyFill="0" applyBorder="0" applyAlignment="0" applyProtection="0"/>
    <xf numFmtId="9" fontId="2" fillId="0" borderId="0" applyFont="0" applyFill="0" applyBorder="0" applyAlignment="0" applyProtection="0"/>
    <xf numFmtId="0" fontId="6" fillId="0" borderId="0"/>
    <xf numFmtId="4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42" fontId="4" fillId="0" borderId="0" applyFont="0" applyFill="0" applyBorder="0" applyAlignment="0" applyProtection="0"/>
    <xf numFmtId="164" fontId="4" fillId="0" borderId="0" applyFont="0" applyFill="0" applyBorder="0" applyAlignment="0" applyProtection="0"/>
    <xf numFmtId="167" fontId="4" fillId="0" borderId="0"/>
    <xf numFmtId="0" fontId="18" fillId="0" borderId="0"/>
    <xf numFmtId="166" fontId="4" fillId="0" borderId="0" applyFont="0" applyFill="0" applyBorder="0" applyAlignment="0" applyProtection="0"/>
    <xf numFmtId="0" fontId="43" fillId="0" borderId="0"/>
  </cellStyleXfs>
  <cellXfs count="4909">
    <xf numFmtId="0" fontId="0" fillId="0" borderId="0" xfId="0"/>
    <xf numFmtId="168" fontId="1" fillId="0" borderId="0" xfId="1" applyNumberFormat="1" applyFont="1" applyFill="1" applyBorder="1" applyAlignment="1">
      <alignment horizontal="justify" vertical="center"/>
    </xf>
    <xf numFmtId="0" fontId="1" fillId="0" borderId="0" xfId="0" applyFont="1" applyBorder="1"/>
    <xf numFmtId="0" fontId="1" fillId="2" borderId="0" xfId="0" applyFont="1" applyFill="1"/>
    <xf numFmtId="0" fontId="1" fillId="0" borderId="0" xfId="0" applyFont="1"/>
    <xf numFmtId="0" fontId="1" fillId="0" borderId="0" xfId="0" applyFont="1" applyAlignment="1">
      <alignment horizontal="center" vertical="center"/>
    </xf>
    <xf numFmtId="0" fontId="1" fillId="2" borderId="0" xfId="0" applyFont="1" applyFill="1" applyAlignment="1"/>
    <xf numFmtId="0" fontId="1" fillId="2" borderId="0" xfId="0" applyFont="1" applyFill="1" applyAlignment="1">
      <alignment horizontal="justify" vertical="center"/>
    </xf>
    <xf numFmtId="3" fontId="1" fillId="2" borderId="0" xfId="0" applyNumberFormat="1" applyFont="1" applyFill="1" applyAlignment="1">
      <alignment horizontal="center" vertical="center"/>
    </xf>
    <xf numFmtId="167" fontId="8" fillId="0" borderId="0" xfId="0" applyNumberFormat="1" applyFont="1" applyFill="1" applyBorder="1"/>
    <xf numFmtId="167" fontId="8" fillId="5" borderId="0" xfId="0" applyNumberFormat="1" applyFont="1" applyFill="1" applyBorder="1"/>
    <xf numFmtId="3" fontId="8" fillId="0" borderId="1"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wrapText="1"/>
    </xf>
    <xf numFmtId="167" fontId="8" fillId="5" borderId="0" xfId="0" applyNumberFormat="1" applyFont="1" applyFill="1" applyBorder="1" applyAlignment="1"/>
    <xf numFmtId="167" fontId="8" fillId="5" borderId="0" xfId="0" applyNumberFormat="1" applyFont="1" applyFill="1" applyBorder="1" applyAlignment="1">
      <alignment horizontal="center" vertical="center"/>
    </xf>
    <xf numFmtId="170" fontId="8" fillId="5" borderId="0" xfId="0" applyNumberFormat="1" applyFont="1" applyFill="1" applyBorder="1"/>
    <xf numFmtId="167" fontId="8" fillId="5" borderId="0" xfId="0" applyNumberFormat="1" applyFont="1" applyFill="1" applyBorder="1" applyAlignment="1">
      <alignment horizontal="justify" vertical="center"/>
    </xf>
    <xf numFmtId="167" fontId="8" fillId="0" borderId="0" xfId="0" applyNumberFormat="1" applyFont="1" applyFill="1" applyBorder="1" applyAlignment="1">
      <alignment horizontal="right" vertical="center"/>
    </xf>
    <xf numFmtId="169" fontId="8" fillId="0" borderId="0" xfId="0" applyNumberFormat="1" applyFont="1" applyFill="1" applyBorder="1" applyAlignment="1">
      <alignment horizontal="center"/>
    </xf>
    <xf numFmtId="167" fontId="8" fillId="0" borderId="0" xfId="0" applyNumberFormat="1" applyFont="1" applyFill="1" applyBorder="1" applyAlignment="1">
      <alignment horizontal="left"/>
    </xf>
    <xf numFmtId="0" fontId="1" fillId="0" borderId="0" xfId="0" applyFont="1" applyFill="1"/>
    <xf numFmtId="0" fontId="1" fillId="0" borderId="0" xfId="0" applyFont="1" applyFill="1" applyAlignment="1">
      <alignment horizontal="right" vertical="center"/>
    </xf>
    <xf numFmtId="169" fontId="1" fillId="0" borderId="0" xfId="0" applyNumberFormat="1" applyFont="1" applyAlignment="1">
      <alignment horizontal="center"/>
    </xf>
    <xf numFmtId="0" fontId="1" fillId="2" borderId="0" xfId="0" applyFont="1" applyFill="1" applyAlignment="1">
      <alignment horizontal="center"/>
    </xf>
    <xf numFmtId="0" fontId="1" fillId="0" borderId="0" xfId="0" applyFont="1" applyAlignment="1">
      <alignment wrapText="1"/>
    </xf>
    <xf numFmtId="167" fontId="1" fillId="0" borderId="0" xfId="9" applyFont="1" applyFill="1"/>
    <xf numFmtId="167" fontId="1" fillId="0" borderId="0" xfId="9" applyFont="1"/>
    <xf numFmtId="167" fontId="1" fillId="2" borderId="0" xfId="9" applyFont="1" applyFill="1"/>
    <xf numFmtId="167" fontId="1" fillId="2" borderId="0" xfId="9" applyFont="1" applyFill="1" applyAlignment="1"/>
    <xf numFmtId="167" fontId="1" fillId="2" borderId="0" xfId="9" applyFont="1" applyFill="1" applyAlignment="1">
      <alignment horizontal="center" vertical="center"/>
    </xf>
    <xf numFmtId="167" fontId="1" fillId="2" borderId="0" xfId="9" applyFont="1" applyFill="1" applyAlignment="1">
      <alignment horizontal="justify" vertical="center"/>
    </xf>
    <xf numFmtId="170" fontId="1" fillId="2" borderId="0" xfId="0" applyNumberFormat="1" applyFont="1" applyFill="1"/>
    <xf numFmtId="167" fontId="1" fillId="2" borderId="0" xfId="9" applyFont="1" applyFill="1" applyAlignment="1">
      <alignment horizontal="center"/>
    </xf>
    <xf numFmtId="167" fontId="8" fillId="5" borderId="0" xfId="0" applyNumberFormat="1" applyFont="1" applyFill="1" applyBorder="1" applyAlignment="1">
      <alignment horizontal="justify" vertical="center" wrapText="1"/>
    </xf>
    <xf numFmtId="167" fontId="8" fillId="0" borderId="1" xfId="0" applyNumberFormat="1" applyFont="1" applyFill="1" applyBorder="1" applyAlignment="1">
      <alignment horizontal="justify" vertical="center" wrapText="1"/>
    </xf>
    <xf numFmtId="167" fontId="8" fillId="5" borderId="10" xfId="0" applyNumberFormat="1" applyFont="1" applyFill="1" applyBorder="1" applyAlignment="1">
      <alignment horizontal="justify" vertical="center" wrapText="1"/>
    </xf>
    <xf numFmtId="0" fontId="8" fillId="0" borderId="9" xfId="0" applyNumberFormat="1" applyFont="1" applyFill="1" applyBorder="1" applyAlignment="1">
      <alignment horizontal="justify" vertical="center" wrapText="1" readingOrder="1"/>
    </xf>
    <xf numFmtId="0" fontId="8" fillId="0" borderId="18" xfId="0" applyNumberFormat="1" applyFont="1" applyFill="1" applyBorder="1" applyAlignment="1">
      <alignment horizontal="justify" vertical="center" wrapText="1"/>
    </xf>
    <xf numFmtId="167" fontId="1" fillId="2" borderId="12" xfId="9" applyFont="1" applyFill="1" applyBorder="1" applyAlignment="1">
      <alignment horizontal="center"/>
    </xf>
    <xf numFmtId="167" fontId="7" fillId="0" borderId="7" xfId="9" applyFont="1" applyFill="1" applyBorder="1" applyAlignment="1">
      <alignment horizontal="justify" wrapText="1"/>
    </xf>
    <xf numFmtId="0" fontId="3" fillId="6" borderId="1" xfId="0" applyFont="1" applyFill="1" applyBorder="1" applyAlignment="1">
      <alignment horizontal="center" vertical="center" wrapText="1"/>
    </xf>
    <xf numFmtId="1" fontId="3" fillId="7" borderId="1" xfId="9" applyNumberFormat="1" applyFont="1" applyFill="1" applyBorder="1" applyAlignment="1">
      <alignment horizontal="center" vertical="center" wrapText="1"/>
    </xf>
    <xf numFmtId="1" fontId="3" fillId="11" borderId="1" xfId="9" applyNumberFormat="1" applyFont="1" applyFill="1" applyBorder="1" applyAlignment="1">
      <alignment horizontal="center" vertical="center" wrapText="1"/>
    </xf>
    <xf numFmtId="0" fontId="3" fillId="8" borderId="3" xfId="0" applyFont="1" applyFill="1" applyBorder="1" applyAlignment="1">
      <alignment vertical="center" wrapText="1"/>
    </xf>
    <xf numFmtId="0" fontId="3" fillId="6" borderId="11" xfId="0" applyFont="1" applyFill="1" applyBorder="1" applyAlignment="1">
      <alignment vertical="center"/>
    </xf>
    <xf numFmtId="0" fontId="3" fillId="6" borderId="11" xfId="0" applyFont="1" applyFill="1" applyBorder="1" applyAlignment="1">
      <alignment horizontal="justify" vertical="center"/>
    </xf>
    <xf numFmtId="0" fontId="3" fillId="6" borderId="11" xfId="0" applyFont="1" applyFill="1" applyBorder="1" applyAlignment="1">
      <alignment horizontal="center" vertical="center"/>
    </xf>
    <xf numFmtId="0" fontId="3" fillId="11" borderId="11" xfId="0" applyFont="1" applyFill="1" applyBorder="1" applyAlignment="1">
      <alignment vertical="center"/>
    </xf>
    <xf numFmtId="0" fontId="3" fillId="11" borderId="11" xfId="0" applyFont="1" applyFill="1" applyBorder="1" applyAlignment="1">
      <alignment horizontal="justify" vertical="center"/>
    </xf>
    <xf numFmtId="0" fontId="3" fillId="11" borderId="11" xfId="0" applyFont="1" applyFill="1" applyBorder="1" applyAlignment="1">
      <alignment horizontal="center" vertical="center"/>
    </xf>
    <xf numFmtId="0" fontId="3" fillId="8" borderId="11" xfId="0" applyFont="1" applyFill="1" applyBorder="1" applyAlignment="1">
      <alignment vertical="center"/>
    </xf>
    <xf numFmtId="0" fontId="3" fillId="8" borderId="12" xfId="0" applyFont="1" applyFill="1" applyBorder="1" applyAlignment="1">
      <alignment vertical="center"/>
    </xf>
    <xf numFmtId="0" fontId="3" fillId="8" borderId="12" xfId="0" applyFont="1" applyFill="1" applyBorder="1" applyAlignment="1">
      <alignment horizontal="justify" vertical="center"/>
    </xf>
    <xf numFmtId="0" fontId="3" fillId="8" borderId="12" xfId="0" applyFont="1" applyFill="1" applyBorder="1" applyAlignment="1">
      <alignment horizontal="center" vertical="center"/>
    </xf>
    <xf numFmtId="1" fontId="3" fillId="6" borderId="11" xfId="0" applyNumberFormat="1" applyFont="1" applyFill="1" applyBorder="1" applyAlignment="1">
      <alignment horizontal="left" vertical="center" wrapText="1"/>
    </xf>
    <xf numFmtId="1" fontId="3" fillId="6" borderId="11" xfId="0" applyNumberFormat="1" applyFont="1" applyFill="1" applyBorder="1" applyAlignment="1">
      <alignment vertical="center"/>
    </xf>
    <xf numFmtId="0" fontId="1" fillId="6" borderId="3" xfId="0" applyFont="1" applyFill="1" applyBorder="1" applyAlignment="1">
      <alignment vertical="center"/>
    </xf>
    <xf numFmtId="1" fontId="3" fillId="11" borderId="11" xfId="0" applyNumberFormat="1" applyFont="1" applyFill="1" applyBorder="1" applyAlignment="1">
      <alignment horizontal="justify" vertical="center" wrapText="1"/>
    </xf>
    <xf numFmtId="1" fontId="3" fillId="11" borderId="11" xfId="0" applyNumberFormat="1" applyFont="1" applyFill="1" applyBorder="1" applyAlignment="1">
      <alignment vertical="center"/>
    </xf>
    <xf numFmtId="0" fontId="1" fillId="11" borderId="3" xfId="0" applyFont="1" applyFill="1" applyBorder="1" applyAlignment="1">
      <alignment vertical="center"/>
    </xf>
    <xf numFmtId="0" fontId="3" fillId="6" borderId="12" xfId="0" applyFont="1" applyFill="1" applyBorder="1" applyAlignment="1">
      <alignment vertical="center"/>
    </xf>
    <xf numFmtId="0" fontId="3" fillId="6" borderId="12" xfId="0" applyFont="1" applyFill="1" applyBorder="1" applyAlignment="1">
      <alignment horizontal="justify" vertical="center"/>
    </xf>
    <xf numFmtId="1" fontId="3" fillId="8" borderId="1" xfId="0" applyNumberFormat="1" applyFont="1" applyFill="1" applyBorder="1" applyAlignment="1">
      <alignment horizontal="justify" vertical="center" wrapText="1"/>
    </xf>
    <xf numFmtId="0" fontId="3" fillId="8" borderId="38" xfId="0" applyFont="1" applyFill="1" applyBorder="1" applyAlignment="1">
      <alignment vertical="center"/>
    </xf>
    <xf numFmtId="0" fontId="1" fillId="8" borderId="5" xfId="0" applyFont="1" applyFill="1" applyBorder="1" applyAlignment="1">
      <alignment vertical="center"/>
    </xf>
    <xf numFmtId="0" fontId="3" fillId="6" borderId="45" xfId="0" applyFont="1" applyFill="1" applyBorder="1" applyAlignment="1">
      <alignment vertical="center"/>
    </xf>
    <xf numFmtId="0" fontId="3" fillId="7" borderId="11" xfId="0" applyFont="1" applyFill="1" applyBorder="1" applyAlignment="1">
      <alignment vertical="center"/>
    </xf>
    <xf numFmtId="0" fontId="3" fillId="7" borderId="11" xfId="0" applyFont="1" applyFill="1" applyBorder="1" applyAlignment="1">
      <alignment horizontal="justify" vertical="center"/>
    </xf>
    <xf numFmtId="0" fontId="3" fillId="7" borderId="7" xfId="0" applyFont="1" applyFill="1" applyBorder="1" applyAlignment="1">
      <alignment vertical="center"/>
    </xf>
    <xf numFmtId="0" fontId="3" fillId="11" borderId="7" xfId="0" applyFont="1" applyFill="1" applyBorder="1" applyAlignment="1">
      <alignment vertical="center"/>
    </xf>
    <xf numFmtId="167" fontId="3" fillId="7" borderId="7" xfId="9" applyFont="1" applyFill="1" applyBorder="1" applyAlignment="1">
      <alignment vertical="center"/>
    </xf>
    <xf numFmtId="167" fontId="3" fillId="7" borderId="11" xfId="9" applyFont="1" applyFill="1" applyBorder="1" applyAlignment="1">
      <alignment vertical="center"/>
    </xf>
    <xf numFmtId="167" fontId="3" fillId="11" borderId="7" xfId="9" applyFont="1" applyFill="1" applyBorder="1" applyAlignment="1">
      <alignment vertical="center"/>
    </xf>
    <xf numFmtId="167" fontId="3" fillId="11" borderId="11" xfId="9" applyFont="1" applyFill="1" applyBorder="1" applyAlignment="1">
      <alignment vertical="center"/>
    </xf>
    <xf numFmtId="167" fontId="3" fillId="6" borderId="7" xfId="9" applyFont="1" applyFill="1" applyBorder="1" applyAlignment="1">
      <alignment vertical="center"/>
    </xf>
    <xf numFmtId="167" fontId="3" fillId="6" borderId="11" xfId="9" applyFont="1" applyFill="1" applyBorder="1" applyAlignment="1">
      <alignment vertical="center"/>
    </xf>
    <xf numFmtId="0" fontId="1" fillId="2" borderId="39" xfId="0" applyFont="1" applyFill="1" applyBorder="1" applyAlignment="1">
      <alignment horizontal="justify" vertical="center"/>
    </xf>
    <xf numFmtId="0" fontId="1" fillId="2" borderId="41" xfId="0" applyFont="1" applyFill="1" applyBorder="1" applyAlignment="1">
      <alignment horizontal="justify" vertical="center"/>
    </xf>
    <xf numFmtId="0" fontId="1" fillId="0" borderId="39" xfId="0" applyFont="1" applyBorder="1"/>
    <xf numFmtId="0" fontId="1" fillId="0" borderId="39" xfId="0" applyFont="1" applyFill="1" applyBorder="1" applyAlignment="1">
      <alignment horizontal="right" vertical="center"/>
    </xf>
    <xf numFmtId="169" fontId="1" fillId="0" borderId="39" xfId="0" applyNumberFormat="1" applyFont="1" applyBorder="1" applyAlignment="1">
      <alignment horizontal="center"/>
    </xf>
    <xf numFmtId="0" fontId="1" fillId="0" borderId="41" xfId="0" applyFont="1" applyBorder="1" applyAlignment="1">
      <alignment horizontal="left"/>
    </xf>
    <xf numFmtId="0" fontId="1" fillId="2" borderId="39" xfId="0" applyFont="1" applyFill="1" applyBorder="1"/>
    <xf numFmtId="0" fontId="1" fillId="2" borderId="40" xfId="0" applyFont="1" applyFill="1" applyBorder="1"/>
    <xf numFmtId="167" fontId="3" fillId="3" borderId="1" xfId="9" applyFont="1" applyFill="1" applyBorder="1" applyAlignment="1">
      <alignment horizontal="center" vertical="center" textRotation="180" wrapText="1"/>
    </xf>
    <xf numFmtId="49" fontId="3" fillId="3" borderId="1" xfId="9" applyNumberFormat="1" applyFont="1" applyFill="1" applyBorder="1" applyAlignment="1">
      <alignment horizontal="center" vertical="center" textRotation="180" wrapText="1"/>
    </xf>
    <xf numFmtId="0" fontId="13" fillId="3" borderId="13" xfId="0" applyFont="1" applyFill="1" applyBorder="1" applyAlignment="1">
      <alignment horizontal="center" vertical="center" wrapText="1"/>
    </xf>
    <xf numFmtId="167" fontId="8" fillId="9" borderId="13" xfId="0" applyNumberFormat="1" applyFont="1" applyFill="1" applyBorder="1" applyAlignment="1">
      <alignment horizontal="center" vertical="center" wrapText="1"/>
    </xf>
    <xf numFmtId="167" fontId="12" fillId="9" borderId="13" xfId="0" applyNumberFormat="1" applyFont="1" applyFill="1" applyBorder="1" applyAlignment="1">
      <alignment horizontal="center" vertical="center" wrapText="1"/>
    </xf>
    <xf numFmtId="167" fontId="8" fillId="9" borderId="1" xfId="0" applyNumberFormat="1" applyFont="1" applyFill="1" applyBorder="1" applyAlignment="1">
      <alignment horizontal="center" vertical="center" wrapText="1"/>
    </xf>
    <xf numFmtId="167" fontId="12" fillId="9"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9" fontId="3" fillId="3" borderId="1" xfId="0" applyNumberFormat="1" applyFont="1" applyFill="1" applyBorder="1" applyAlignment="1">
      <alignment vertical="center" wrapText="1"/>
    </xf>
    <xf numFmtId="0" fontId="3" fillId="3" borderId="15" xfId="0" applyFont="1" applyFill="1" applyBorder="1" applyAlignment="1">
      <alignment vertical="center" wrapText="1"/>
    </xf>
    <xf numFmtId="0" fontId="3" fillId="3" borderId="8" xfId="0" applyFont="1" applyFill="1" applyBorder="1" applyAlignment="1">
      <alignment vertical="center" wrapText="1"/>
    </xf>
    <xf numFmtId="167" fontId="13" fillId="3" borderId="1" xfId="9" applyFont="1" applyFill="1" applyBorder="1" applyAlignment="1">
      <alignment horizontal="center" vertical="center" wrapText="1"/>
    </xf>
    <xf numFmtId="167" fontId="3" fillId="0" borderId="0" xfId="9" applyFont="1" applyFill="1" applyBorder="1" applyAlignment="1">
      <alignment vertical="center"/>
    </xf>
    <xf numFmtId="3" fontId="3" fillId="3" borderId="33" xfId="9" applyNumberFormat="1" applyFont="1" applyFill="1" applyBorder="1" applyAlignment="1">
      <alignment horizontal="center" vertical="center" wrapText="1"/>
    </xf>
    <xf numFmtId="167" fontId="3" fillId="3" borderId="53" xfId="9" applyFont="1" applyFill="1" applyBorder="1" applyAlignment="1">
      <alignment horizontal="center" vertical="center" wrapText="1"/>
    </xf>
    <xf numFmtId="0" fontId="3" fillId="6" borderId="53" xfId="9" applyNumberFormat="1" applyFont="1" applyFill="1" applyBorder="1" applyAlignment="1">
      <alignment horizontal="center" vertical="center" wrapText="1"/>
    </xf>
    <xf numFmtId="167" fontId="3" fillId="6" borderId="50" xfId="9" applyFont="1" applyFill="1" applyBorder="1" applyAlignment="1">
      <alignment vertical="center"/>
    </xf>
    <xf numFmtId="167" fontId="3" fillId="11" borderId="50" xfId="9" applyFont="1" applyFill="1" applyBorder="1" applyAlignment="1">
      <alignment vertical="center"/>
    </xf>
    <xf numFmtId="167" fontId="3" fillId="7" borderId="50" xfId="9" applyFont="1" applyFill="1" applyBorder="1" applyAlignment="1">
      <alignment vertical="center"/>
    </xf>
    <xf numFmtId="0" fontId="3" fillId="11" borderId="50" xfId="0" applyFont="1" applyFill="1" applyBorder="1" applyAlignment="1">
      <alignment vertical="center"/>
    </xf>
    <xf numFmtId="170" fontId="3" fillId="0" borderId="18" xfId="9" applyNumberFormat="1" applyFont="1" applyFill="1" applyBorder="1" applyAlignment="1">
      <alignment vertical="center"/>
    </xf>
    <xf numFmtId="167" fontId="3" fillId="0" borderId="18" xfId="9" applyFont="1" applyFill="1" applyBorder="1" applyAlignment="1">
      <alignment vertical="center"/>
    </xf>
    <xf numFmtId="167" fontId="3" fillId="0" borderId="18" xfId="9" applyFont="1" applyFill="1" applyBorder="1" applyAlignment="1">
      <alignment horizontal="justify" vertical="center"/>
    </xf>
    <xf numFmtId="167" fontId="3" fillId="0" borderId="43" xfId="9" applyFont="1" applyFill="1" applyBorder="1" applyAlignment="1">
      <alignment horizontal="justify" vertical="center"/>
    </xf>
    <xf numFmtId="167" fontId="3" fillId="0" borderId="38" xfId="9" applyFont="1" applyFill="1" applyBorder="1" applyAlignment="1">
      <alignment horizontal="justify" vertical="center"/>
    </xf>
    <xf numFmtId="167" fontId="3" fillId="0" borderId="38" xfId="9" applyFont="1" applyFill="1" applyBorder="1" applyAlignment="1">
      <alignment vertical="center"/>
    </xf>
    <xf numFmtId="167" fontId="3" fillId="0" borderId="38" xfId="9" applyFont="1" applyFill="1" applyBorder="1" applyAlignment="1">
      <alignment horizontal="right" vertical="center"/>
    </xf>
    <xf numFmtId="167" fontId="3" fillId="0" borderId="55" xfId="9" applyFont="1" applyFill="1" applyBorder="1" applyAlignment="1">
      <alignment horizontal="right" vertical="center"/>
    </xf>
    <xf numFmtId="44" fontId="8" fillId="0" borderId="48" xfId="14" applyFont="1" applyFill="1" applyBorder="1" applyAlignment="1">
      <alignment horizontal="center"/>
    </xf>
    <xf numFmtId="0" fontId="3" fillId="6" borderId="49" xfId="0" applyFont="1" applyFill="1" applyBorder="1" applyAlignment="1">
      <alignment vertical="center"/>
    </xf>
    <xf numFmtId="0" fontId="3" fillId="7" borderId="50" xfId="0" applyFont="1" applyFill="1" applyBorder="1" applyAlignment="1">
      <alignment vertical="center"/>
    </xf>
    <xf numFmtId="169" fontId="10" fillId="9" borderId="1" xfId="0" applyNumberFormat="1" applyFont="1" applyFill="1" applyBorder="1" applyAlignment="1">
      <alignment horizontal="center" vertical="center" wrapText="1"/>
    </xf>
    <xf numFmtId="169" fontId="13" fillId="3" borderId="1" xfId="0" applyNumberFormat="1" applyFont="1" applyFill="1" applyBorder="1" applyAlignment="1">
      <alignment horizontal="center" vertical="center" wrapText="1"/>
    </xf>
    <xf numFmtId="169" fontId="13" fillId="3" borderId="1" xfId="9" applyNumberFormat="1" applyFont="1" applyFill="1" applyBorder="1" applyAlignment="1">
      <alignment horizontal="center" vertical="center" wrapText="1"/>
    </xf>
    <xf numFmtId="169" fontId="13" fillId="3" borderId="7" xfId="9" applyNumberFormat="1" applyFont="1" applyFill="1" applyBorder="1" applyAlignment="1">
      <alignment horizontal="center" vertical="center" wrapText="1"/>
    </xf>
    <xf numFmtId="169" fontId="13" fillId="9" borderId="1" xfId="0" applyNumberFormat="1" applyFont="1" applyFill="1" applyBorder="1" applyAlignment="1">
      <alignment horizontal="center" vertical="center" wrapText="1"/>
    </xf>
    <xf numFmtId="175" fontId="3" fillId="0" borderId="18" xfId="14" applyNumberFormat="1" applyFont="1" applyFill="1" applyBorder="1" applyAlignment="1">
      <alignment horizontal="justify" vertical="center"/>
    </xf>
    <xf numFmtId="170" fontId="11" fillId="0" borderId="48" xfId="0" applyNumberFormat="1" applyFont="1" applyFill="1" applyBorder="1" applyAlignment="1">
      <alignment vertical="center"/>
    </xf>
    <xf numFmtId="0" fontId="13" fillId="0" borderId="2" xfId="0" applyFont="1" applyBorder="1" applyAlignment="1">
      <alignment horizontal="center" vertical="center"/>
    </xf>
    <xf numFmtId="0" fontId="12" fillId="0" borderId="0" xfId="0" applyFont="1"/>
    <xf numFmtId="3" fontId="12" fillId="0" borderId="17" xfId="0" applyNumberFormat="1" applyFont="1" applyFill="1" applyBorder="1" applyAlignment="1">
      <alignment horizontal="center" vertical="center" wrapText="1"/>
    </xf>
    <xf numFmtId="169" fontId="3" fillId="3" borderId="1" xfId="9" applyNumberFormat="1" applyFont="1" applyFill="1" applyBorder="1" applyAlignment="1">
      <alignment horizontal="center" vertical="center" wrapText="1"/>
    </xf>
    <xf numFmtId="167" fontId="3" fillId="3" borderId="1" xfId="9" applyFont="1" applyFill="1" applyBorder="1" applyAlignment="1">
      <alignment horizontal="center" vertical="center" wrapText="1"/>
    </xf>
    <xf numFmtId="0" fontId="7" fillId="0" borderId="0" xfId="0" applyFont="1"/>
    <xf numFmtId="0" fontId="11" fillId="11" borderId="11" xfId="0" applyFont="1" applyFill="1" applyBorder="1" applyAlignment="1">
      <alignment vertical="center"/>
    </xf>
    <xf numFmtId="0" fontId="7" fillId="0" borderId="0" xfId="0" applyFont="1" applyAlignment="1">
      <alignment horizontal="center" vertical="center"/>
    </xf>
    <xf numFmtId="0" fontId="7" fillId="0" borderId="0" xfId="0" applyFont="1" applyFill="1"/>
    <xf numFmtId="0" fontId="11" fillId="2" borderId="39" xfId="0" applyFont="1" applyFill="1" applyBorder="1" applyAlignment="1">
      <alignment horizontal="justify" vertical="center"/>
    </xf>
    <xf numFmtId="170" fontId="7" fillId="0" borderId="1" xfId="9" applyNumberFormat="1" applyFont="1" applyFill="1" applyBorder="1" applyAlignment="1">
      <alignment horizontal="center" vertical="center" wrapText="1"/>
    </xf>
    <xf numFmtId="167" fontId="7" fillId="0" borderId="1" xfId="9" applyFont="1" applyFill="1" applyBorder="1" applyAlignment="1">
      <alignment horizontal="left" vertical="center" wrapText="1"/>
    </xf>
    <xf numFmtId="1" fontId="7" fillId="0" borderId="7" xfId="9" applyNumberFormat="1" applyFont="1" applyFill="1" applyBorder="1" applyAlignment="1">
      <alignment horizontal="center" vertical="center" textRotation="180" wrapText="1"/>
    </xf>
    <xf numFmtId="1" fontId="7" fillId="0" borderId="7" xfId="9" applyNumberFormat="1" applyFont="1" applyFill="1" applyBorder="1" applyAlignment="1">
      <alignment horizontal="center" vertical="center" wrapText="1"/>
    </xf>
    <xf numFmtId="169" fontId="7" fillId="0" borderId="7" xfId="9" applyNumberFormat="1" applyFont="1" applyFill="1" applyBorder="1" applyAlignment="1">
      <alignment horizontal="center" vertical="center" wrapText="1"/>
    </xf>
    <xf numFmtId="167" fontId="7" fillId="0" borderId="0" xfId="9" applyFont="1" applyFill="1"/>
    <xf numFmtId="167" fontId="7" fillId="0" borderId="8" xfId="9" applyFont="1" applyFill="1" applyBorder="1" applyAlignment="1">
      <alignment horizontal="justify" vertical="center" wrapText="1"/>
    </xf>
    <xf numFmtId="167" fontId="7" fillId="0" borderId="10" xfId="9" applyFont="1" applyFill="1" applyBorder="1" applyAlignment="1">
      <alignment horizontal="justify" vertical="center" wrapText="1"/>
    </xf>
    <xf numFmtId="170" fontId="7" fillId="0" borderId="10" xfId="9" applyNumberFormat="1" applyFont="1" applyFill="1" applyBorder="1" applyAlignment="1">
      <alignment horizontal="center" vertical="center" wrapText="1"/>
    </xf>
    <xf numFmtId="1" fontId="7" fillId="0" borderId="8" xfId="9" applyNumberFormat="1" applyFont="1" applyFill="1" applyBorder="1" applyAlignment="1">
      <alignment horizontal="center" vertical="center" textRotation="180" wrapText="1"/>
    </xf>
    <xf numFmtId="169" fontId="7" fillId="0" borderId="8" xfId="9" applyNumberFormat="1" applyFont="1" applyFill="1" applyBorder="1" applyAlignment="1">
      <alignment horizontal="center" vertical="center" wrapText="1"/>
    </xf>
    <xf numFmtId="3" fontId="7" fillId="0" borderId="30" xfId="9" applyNumberFormat="1" applyFont="1" applyFill="1" applyBorder="1" applyAlignment="1">
      <alignment horizontal="center" vertical="center" wrapText="1"/>
    </xf>
    <xf numFmtId="1" fontId="11" fillId="11" borderId="2" xfId="9" applyNumberFormat="1" applyFont="1" applyFill="1" applyBorder="1" applyAlignment="1">
      <alignment horizontal="center" vertical="center" wrapText="1"/>
    </xf>
    <xf numFmtId="0" fontId="11" fillId="11" borderId="50" xfId="0" applyFont="1" applyFill="1" applyBorder="1" applyAlignment="1">
      <alignment vertical="center"/>
    </xf>
    <xf numFmtId="1" fontId="11" fillId="7" borderId="3" xfId="9" applyNumberFormat="1" applyFont="1" applyFill="1" applyBorder="1" applyAlignment="1">
      <alignment horizontal="center" vertical="center" wrapText="1"/>
    </xf>
    <xf numFmtId="167" fontId="11" fillId="7" borderId="7" xfId="9" applyFont="1" applyFill="1" applyBorder="1" applyAlignment="1">
      <alignment vertical="center"/>
    </xf>
    <xf numFmtId="167" fontId="11" fillId="7" borderId="11" xfId="9" applyFont="1" applyFill="1" applyBorder="1" applyAlignment="1">
      <alignment vertical="center" wrapText="1"/>
    </xf>
    <xf numFmtId="167" fontId="11" fillId="7" borderId="50" xfId="9" applyFont="1" applyFill="1" applyBorder="1" applyAlignment="1">
      <alignment vertical="center" wrapText="1"/>
    </xf>
    <xf numFmtId="167" fontId="8" fillId="0" borderId="0" xfId="0" applyNumberFormat="1" applyFont="1" applyFill="1" applyBorder="1" applyAlignment="1">
      <alignment horizontal="justify" vertical="center"/>
    </xf>
    <xf numFmtId="43" fontId="1" fillId="0" borderId="0" xfId="13" applyFont="1" applyFill="1" applyBorder="1" applyAlignment="1">
      <alignment horizontal="justify" vertical="center"/>
    </xf>
    <xf numFmtId="0" fontId="15" fillId="0" borderId="1" xfId="0" applyFont="1" applyBorder="1" applyAlignment="1">
      <alignment vertical="center"/>
    </xf>
    <xf numFmtId="0" fontId="15" fillId="0" borderId="1" xfId="0" applyFont="1" applyBorder="1" applyAlignment="1">
      <alignment horizontal="center" vertical="center"/>
    </xf>
    <xf numFmtId="44" fontId="10" fillId="0" borderId="48" xfId="14" applyFont="1" applyFill="1" applyBorder="1" applyAlignment="1">
      <alignment horizontal="center"/>
    </xf>
    <xf numFmtId="0" fontId="13" fillId="0" borderId="12" xfId="0" applyFont="1" applyBorder="1" applyAlignment="1">
      <alignment horizontal="center" vertical="center"/>
    </xf>
    <xf numFmtId="0" fontId="13" fillId="6" borderId="12" xfId="0" applyFont="1" applyFill="1" applyBorder="1" applyAlignment="1">
      <alignment vertical="center"/>
    </xf>
    <xf numFmtId="0" fontId="13" fillId="11" borderId="11" xfId="0" applyFont="1" applyFill="1" applyBorder="1" applyAlignment="1">
      <alignment vertical="center"/>
    </xf>
    <xf numFmtId="0" fontId="13" fillId="7" borderId="11" xfId="0" applyFont="1" applyFill="1" applyBorder="1" applyAlignment="1">
      <alignment vertical="center"/>
    </xf>
    <xf numFmtId="43" fontId="12" fillId="0" borderId="0" xfId="13" applyFont="1" applyFill="1" applyBorder="1" applyAlignment="1">
      <alignment horizontal="justify" vertic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3" borderId="14" xfId="0" applyFont="1" applyFill="1" applyBorder="1" applyAlignment="1">
      <alignment vertical="center" wrapText="1"/>
    </xf>
    <xf numFmtId="0" fontId="13" fillId="3" borderId="9" xfId="0" applyFont="1" applyFill="1" applyBorder="1" applyAlignment="1">
      <alignment vertical="center" wrapText="1"/>
    </xf>
    <xf numFmtId="0" fontId="12" fillId="0" borderId="0" xfId="0" applyFont="1" applyFill="1" applyAlignment="1">
      <alignment horizontal="center"/>
    </xf>
    <xf numFmtId="167" fontId="13" fillId="6" borderId="11" xfId="9" applyFont="1" applyFill="1" applyBorder="1" applyAlignment="1">
      <alignment vertical="center"/>
    </xf>
    <xf numFmtId="167" fontId="13" fillId="11" borderId="11" xfId="9" applyFont="1" applyFill="1" applyBorder="1" applyAlignment="1">
      <alignment vertical="center"/>
    </xf>
    <xf numFmtId="167" fontId="13" fillId="7" borderId="11" xfId="9" applyFont="1" applyFill="1" applyBorder="1" applyAlignment="1">
      <alignment vertical="center"/>
    </xf>
    <xf numFmtId="1" fontId="12" fillId="0" borderId="1" xfId="9" applyNumberFormat="1" applyFont="1" applyFill="1" applyBorder="1" applyAlignment="1">
      <alignment horizontal="center" vertical="center" wrapText="1"/>
    </xf>
    <xf numFmtId="167" fontId="13" fillId="7" borderId="11" xfId="9" applyFont="1" applyFill="1" applyBorder="1" applyAlignment="1">
      <alignment vertical="center" wrapText="1"/>
    </xf>
    <xf numFmtId="167" fontId="12" fillId="2" borderId="0" xfId="9" applyFont="1" applyFill="1"/>
    <xf numFmtId="170" fontId="12" fillId="0" borderId="1" xfId="9" applyNumberFormat="1" applyFont="1" applyFill="1" applyBorder="1" applyAlignment="1">
      <alignment horizontal="center" vertical="center" wrapText="1"/>
    </xf>
    <xf numFmtId="170" fontId="12" fillId="0" borderId="10" xfId="9" applyNumberFormat="1" applyFont="1" applyFill="1" applyBorder="1" applyAlignment="1">
      <alignment horizontal="center" vertical="center" wrapText="1"/>
    </xf>
    <xf numFmtId="170" fontId="12" fillId="0" borderId="6" xfId="9" applyNumberFormat="1" applyFont="1" applyFill="1" applyBorder="1" applyAlignment="1">
      <alignment horizontal="center" vertical="center" wrapText="1"/>
    </xf>
    <xf numFmtId="175" fontId="13" fillId="0" borderId="18" xfId="14" applyNumberFormat="1" applyFont="1" applyFill="1" applyBorder="1" applyAlignment="1">
      <alignment horizontal="justify" vertical="center"/>
    </xf>
    <xf numFmtId="44" fontId="13" fillId="0" borderId="18" xfId="14" applyFont="1" applyFill="1" applyBorder="1" applyAlignment="1">
      <alignment horizontal="justify" vertical="center"/>
    </xf>
    <xf numFmtId="167" fontId="12" fillId="2" borderId="0" xfId="9" applyFont="1" applyFill="1" applyAlignment="1">
      <alignment horizontal="justify" vertical="center"/>
    </xf>
    <xf numFmtId="167" fontId="13" fillId="3" borderId="1" xfId="9" applyFont="1" applyFill="1" applyBorder="1" applyAlignment="1">
      <alignment horizontal="center" vertical="center" textRotation="180" wrapText="1"/>
    </xf>
    <xf numFmtId="1" fontId="12" fillId="0" borderId="7" xfId="9" applyNumberFormat="1" applyFont="1" applyFill="1" applyBorder="1" applyAlignment="1">
      <alignment horizontal="center" vertical="center" textRotation="180" wrapText="1"/>
    </xf>
    <xf numFmtId="1" fontId="12" fillId="0" borderId="8" xfId="9" applyNumberFormat="1" applyFont="1" applyFill="1" applyBorder="1" applyAlignment="1">
      <alignment horizontal="center" vertical="center" textRotation="180" wrapText="1"/>
    </xf>
    <xf numFmtId="167" fontId="13" fillId="0" borderId="38" xfId="9" applyFont="1" applyFill="1" applyBorder="1" applyAlignment="1">
      <alignment vertical="center"/>
    </xf>
    <xf numFmtId="49" fontId="13" fillId="3" borderId="1" xfId="9" applyNumberFormat="1" applyFont="1" applyFill="1" applyBorder="1" applyAlignment="1">
      <alignment horizontal="center" vertical="center" textRotation="180" wrapText="1"/>
    </xf>
    <xf numFmtId="167" fontId="13" fillId="0" borderId="0" xfId="9" applyFont="1" applyBorder="1" applyAlignment="1">
      <alignment horizontal="center" vertical="center" wrapText="1"/>
    </xf>
    <xf numFmtId="169" fontId="12" fillId="0" borderId="7" xfId="9" applyNumberFormat="1" applyFont="1" applyFill="1" applyBorder="1" applyAlignment="1">
      <alignment horizontal="center" vertical="center" wrapText="1"/>
    </xf>
    <xf numFmtId="169" fontId="12" fillId="0" borderId="8" xfId="9" applyNumberFormat="1" applyFont="1" applyFill="1" applyBorder="1" applyAlignment="1">
      <alignment horizontal="center" vertical="center" wrapText="1"/>
    </xf>
    <xf numFmtId="167" fontId="13" fillId="0" borderId="38" xfId="9" applyFont="1" applyFill="1" applyBorder="1" applyAlignment="1">
      <alignment horizontal="right" vertical="center"/>
    </xf>
    <xf numFmtId="167" fontId="13" fillId="0" borderId="0" xfId="0" applyNumberFormat="1" applyFont="1" applyFill="1" applyBorder="1" applyAlignment="1">
      <alignment horizontal="center" vertical="center"/>
    </xf>
    <xf numFmtId="167" fontId="13" fillId="0" borderId="0" xfId="0" applyNumberFormat="1" applyFont="1" applyFill="1" applyBorder="1" applyAlignment="1">
      <alignment horizontal="center"/>
    </xf>
    <xf numFmtId="167" fontId="12" fillId="5" borderId="0" xfId="0" applyNumberFormat="1" applyFont="1" applyFill="1" applyBorder="1"/>
    <xf numFmtId="44" fontId="12" fillId="0" borderId="48" xfId="14" applyFont="1" applyFill="1" applyBorder="1" applyAlignment="1">
      <alignment horizontal="center"/>
    </xf>
    <xf numFmtId="167" fontId="12" fillId="0" borderId="0" xfId="0" applyNumberFormat="1" applyFont="1" applyFill="1" applyBorder="1" applyAlignment="1">
      <alignment horizontal="justify" vertical="center"/>
    </xf>
    <xf numFmtId="167" fontId="12" fillId="5" borderId="0" xfId="0" applyNumberFormat="1" applyFont="1" applyFill="1" applyBorder="1" applyAlignment="1">
      <alignment horizontal="justify" vertical="center"/>
    </xf>
    <xf numFmtId="167" fontId="13" fillId="0" borderId="39" xfId="0" applyNumberFormat="1" applyFont="1" applyFill="1" applyBorder="1" applyAlignment="1">
      <alignment horizontal="center"/>
    </xf>
    <xf numFmtId="167" fontId="12" fillId="0" borderId="0" xfId="0" applyNumberFormat="1" applyFont="1" applyFill="1" applyBorder="1"/>
    <xf numFmtId="167" fontId="12" fillId="0" borderId="0" xfId="0" applyNumberFormat="1" applyFont="1" applyFill="1" applyBorder="1" applyAlignment="1">
      <alignment horizontal="right" vertical="center"/>
    </xf>
    <xf numFmtId="169" fontId="12" fillId="0" borderId="0"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horizontal="left"/>
    </xf>
    <xf numFmtId="170" fontId="12" fillId="0" borderId="1" xfId="0" applyNumberFormat="1" applyFont="1" applyFill="1" applyBorder="1" applyAlignment="1">
      <alignment horizontal="center" vertical="center" wrapText="1"/>
    </xf>
    <xf numFmtId="169" fontId="13" fillId="3" borderId="1" xfId="0" applyNumberFormat="1" applyFont="1" applyFill="1" applyBorder="1" applyAlignment="1">
      <alignment vertical="center" wrapText="1"/>
    </xf>
    <xf numFmtId="0" fontId="3" fillId="6" borderId="11" xfId="0" applyFont="1" applyFill="1" applyBorder="1" applyAlignment="1">
      <alignment vertical="center" wrapText="1"/>
    </xf>
    <xf numFmtId="0" fontId="1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6" borderId="3" xfId="0" applyFont="1" applyFill="1" applyBorder="1" applyAlignment="1">
      <alignment vertical="center" wrapText="1"/>
    </xf>
    <xf numFmtId="0" fontId="3" fillId="11" borderId="7" xfId="0" applyFont="1" applyFill="1" applyBorder="1" applyAlignment="1">
      <alignment horizontal="center" vertical="center" wrapText="1"/>
    </xf>
    <xf numFmtId="0" fontId="3" fillId="11" borderId="11" xfId="0" applyFont="1" applyFill="1" applyBorder="1" applyAlignment="1">
      <alignment vertical="center" wrapText="1"/>
    </xf>
    <xf numFmtId="0" fontId="3" fillId="11" borderId="7" xfId="0" applyFont="1" applyFill="1" applyBorder="1" applyAlignment="1">
      <alignment vertical="center" wrapText="1"/>
    </xf>
    <xf numFmtId="0" fontId="13" fillId="11" borderId="11" xfId="0" applyFont="1" applyFill="1" applyBorder="1" applyAlignment="1">
      <alignment vertical="center" wrapText="1"/>
    </xf>
    <xf numFmtId="0" fontId="3" fillId="11" borderId="11"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3" fillId="11" borderId="3" xfId="0" applyFont="1" applyFill="1" applyBorder="1" applyAlignment="1">
      <alignment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vertical="center" wrapText="1"/>
    </xf>
    <xf numFmtId="0" fontId="13" fillId="8" borderId="11" xfId="0" applyFont="1" applyFill="1" applyBorder="1" applyAlignment="1">
      <alignment vertical="center" wrapText="1"/>
    </xf>
    <xf numFmtId="0" fontId="3" fillId="8" borderId="11" xfId="0" applyFont="1" applyFill="1" applyBorder="1" applyAlignment="1">
      <alignment horizontal="center" vertical="center" wrapText="1"/>
    </xf>
    <xf numFmtId="0" fontId="13" fillId="8" borderId="11" xfId="0" applyFont="1" applyFill="1" applyBorder="1" applyAlignment="1">
      <alignment horizontal="center" vertical="center" wrapText="1"/>
    </xf>
    <xf numFmtId="3" fontId="1" fillId="0" borderId="1" xfId="0" applyNumberFormat="1" applyFont="1" applyBorder="1" applyAlignment="1">
      <alignment horizontal="center" vertical="center"/>
    </xf>
    <xf numFmtId="0" fontId="11" fillId="0" borderId="40" xfId="0" applyFont="1" applyBorder="1" applyAlignment="1">
      <alignment vertical="center"/>
    </xf>
    <xf numFmtId="0" fontId="11" fillId="0" borderId="39" xfId="0" applyFont="1" applyBorder="1" applyAlignment="1">
      <alignment vertical="center"/>
    </xf>
    <xf numFmtId="0" fontId="11" fillId="0" borderId="41" xfId="0" applyFont="1" applyBorder="1" applyAlignment="1">
      <alignment vertical="center"/>
    </xf>
    <xf numFmtId="0" fontId="11" fillId="0" borderId="0" xfId="0" applyFont="1" applyAlignment="1">
      <alignment vertical="center"/>
    </xf>
    <xf numFmtId="0" fontId="11" fillId="0" borderId="40" xfId="0" applyFont="1" applyFill="1" applyBorder="1" applyAlignment="1">
      <alignment vertical="center"/>
    </xf>
    <xf numFmtId="0" fontId="11" fillId="0" borderId="39" xfId="0" applyFont="1" applyFill="1" applyBorder="1" applyAlignment="1">
      <alignment vertical="center"/>
    </xf>
    <xf numFmtId="0" fontId="11" fillId="0" borderId="41" xfId="0" applyFont="1" applyFill="1" applyBorder="1" applyAlignment="1">
      <alignment horizontal="justify" vertical="center"/>
    </xf>
    <xf numFmtId="170" fontId="11" fillId="0" borderId="48" xfId="0" applyNumberFormat="1" applyFont="1" applyFill="1" applyBorder="1" applyAlignment="1">
      <alignment horizontal="center" vertical="center"/>
    </xf>
    <xf numFmtId="170" fontId="11" fillId="0" borderId="40" xfId="0" applyNumberFormat="1" applyFont="1" applyFill="1" applyBorder="1" applyAlignment="1">
      <alignment vertical="center"/>
    </xf>
    <xf numFmtId="0" fontId="13" fillId="0" borderId="39" xfId="0" applyFont="1" applyBorder="1" applyAlignment="1">
      <alignment vertical="center"/>
    </xf>
    <xf numFmtId="172" fontId="11" fillId="0" borderId="39" xfId="8" applyNumberFormat="1" applyFont="1" applyBorder="1" applyAlignment="1">
      <alignment vertical="center"/>
    </xf>
    <xf numFmtId="0" fontId="11" fillId="0" borderId="39" xfId="0" applyFont="1" applyFill="1" applyBorder="1" applyAlignment="1">
      <alignment horizontal="center" vertical="center"/>
    </xf>
    <xf numFmtId="0" fontId="13" fillId="0" borderId="39" xfId="0" applyFont="1" applyFill="1" applyBorder="1" applyAlignment="1">
      <alignment horizontal="center" vertical="center"/>
    </xf>
    <xf numFmtId="169" fontId="11" fillId="0" borderId="39" xfId="0" applyNumberFormat="1" applyFont="1" applyBorder="1" applyAlignment="1">
      <alignment horizontal="center" vertical="center"/>
    </xf>
    <xf numFmtId="169" fontId="13" fillId="0" borderId="39" xfId="0" applyNumberFormat="1" applyFont="1" applyBorder="1" applyAlignment="1">
      <alignment horizontal="center" vertical="center"/>
    </xf>
    <xf numFmtId="0" fontId="11" fillId="0" borderId="41" xfId="0" applyFont="1" applyBorder="1" applyAlignment="1">
      <alignment horizontal="left" vertical="center"/>
    </xf>
    <xf numFmtId="3" fontId="7" fillId="0" borderId="0" xfId="0" applyNumberFormat="1" applyFont="1" applyFill="1"/>
    <xf numFmtId="16" fontId="7" fillId="0" borderId="0" xfId="0" applyNumberFormat="1" applyFont="1" applyFill="1" applyAlignment="1">
      <alignment horizontal="center"/>
    </xf>
    <xf numFmtId="0" fontId="12" fillId="0" borderId="0" xfId="0" applyFont="1" applyAlignment="1">
      <alignment horizontal="center" vertical="center"/>
    </xf>
    <xf numFmtId="12" fontId="1" fillId="0" borderId="0" xfId="17" applyNumberFormat="1" applyFont="1"/>
    <xf numFmtId="0" fontId="12" fillId="0" borderId="0" xfId="0" applyFont="1" applyAlignment="1">
      <alignment horizontal="center"/>
    </xf>
    <xf numFmtId="177" fontId="3" fillId="3" borderId="10" xfId="0" applyNumberFormat="1" applyFont="1" applyFill="1" applyBorder="1" applyAlignment="1">
      <alignment horizontal="center" vertical="center" wrapText="1"/>
    </xf>
    <xf numFmtId="177" fontId="13" fillId="3" borderId="10" xfId="0" applyNumberFormat="1" applyFont="1" applyFill="1" applyBorder="1" applyAlignment="1">
      <alignment horizontal="center" vertical="center" wrapText="1"/>
    </xf>
    <xf numFmtId="3" fontId="3" fillId="6" borderId="11" xfId="0" applyNumberFormat="1" applyFont="1" applyFill="1" applyBorder="1" applyAlignment="1">
      <alignment vertical="center"/>
    </xf>
    <xf numFmtId="3" fontId="3" fillId="11" borderId="11" xfId="0" applyNumberFormat="1" applyFont="1" applyFill="1" applyBorder="1" applyAlignment="1">
      <alignment vertical="center"/>
    </xf>
    <xf numFmtId="3" fontId="3" fillId="8" borderId="12" xfId="0" applyNumberFormat="1" applyFont="1" applyFill="1" applyBorder="1" applyAlignment="1">
      <alignment vertical="center"/>
    </xf>
    <xf numFmtId="177" fontId="1" fillId="0" borderId="1" xfId="0" applyNumberFormat="1" applyFont="1" applyFill="1" applyBorder="1" applyAlignment="1">
      <alignment horizontal="right" vertical="center" wrapText="1"/>
    </xf>
    <xf numFmtId="172" fontId="1" fillId="0" borderId="1" xfId="8" applyNumberFormat="1" applyFont="1" applyFill="1" applyBorder="1" applyAlignment="1">
      <alignment vertical="center" wrapText="1"/>
    </xf>
    <xf numFmtId="0" fontId="1" fillId="0" borderId="1" xfId="0" applyFont="1" applyFill="1" applyBorder="1" applyAlignment="1">
      <alignment horizontal="justify" vertical="justify" wrapText="1"/>
    </xf>
    <xf numFmtId="170" fontId="3" fillId="2" borderId="0" xfId="0" applyNumberFormat="1" applyFont="1" applyFill="1"/>
    <xf numFmtId="177" fontId="1" fillId="2" borderId="0" xfId="0" applyNumberFormat="1" applyFont="1" applyFill="1" applyAlignment="1">
      <alignment horizontal="right" vertical="center"/>
    </xf>
    <xf numFmtId="177" fontId="1" fillId="2" borderId="0" xfId="0" applyNumberFormat="1" applyFont="1" applyFill="1" applyAlignment="1">
      <alignment vertical="center"/>
    </xf>
    <xf numFmtId="170" fontId="3" fillId="2" borderId="48" xfId="0" applyNumberFormat="1" applyFont="1" applyFill="1" applyBorder="1" applyAlignment="1">
      <alignment vertical="center"/>
    </xf>
    <xf numFmtId="177" fontId="3" fillId="2" borderId="48" xfId="0" applyNumberFormat="1" applyFont="1" applyFill="1" applyBorder="1" applyAlignment="1">
      <alignment horizontal="right" vertical="center"/>
    </xf>
    <xf numFmtId="177" fontId="1" fillId="2" borderId="40" xfId="0" applyNumberFormat="1" applyFont="1" applyFill="1" applyBorder="1" applyAlignment="1">
      <alignment vertical="center"/>
    </xf>
    <xf numFmtId="172" fontId="7" fillId="0" borderId="0" xfId="0" applyNumberFormat="1" applyFont="1"/>
    <xf numFmtId="179" fontId="1" fillId="0" borderId="0" xfId="0" applyNumberFormat="1" applyFont="1" applyAlignment="1">
      <alignment horizontal="center"/>
    </xf>
    <xf numFmtId="165" fontId="0" fillId="0" borderId="0" xfId="15" applyFont="1" applyFill="1" applyBorder="1"/>
    <xf numFmtId="43" fontId="17" fillId="2" borderId="1" xfId="13" applyFont="1" applyFill="1" applyBorder="1" applyAlignment="1">
      <alignment vertical="center"/>
    </xf>
    <xf numFmtId="43" fontId="12" fillId="2" borderId="1" xfId="13" applyFont="1" applyFill="1" applyBorder="1" applyAlignment="1">
      <alignment vertical="center"/>
    </xf>
    <xf numFmtId="177" fontId="12" fillId="0" borderId="1" xfId="0" applyNumberFormat="1" applyFont="1" applyFill="1" applyBorder="1" applyAlignment="1">
      <alignment horizontal="right" vertical="center" wrapText="1"/>
    </xf>
    <xf numFmtId="1" fontId="12" fillId="0" borderId="1" xfId="15" applyNumberFormat="1" applyFont="1" applyFill="1" applyBorder="1" applyAlignment="1">
      <alignment horizontal="center" vertical="center" wrapText="1"/>
    </xf>
    <xf numFmtId="164" fontId="7" fillId="0" borderId="7" xfId="17" applyFont="1" applyFill="1" applyBorder="1" applyAlignment="1">
      <alignment horizontal="center" vertical="center" wrapText="1"/>
    </xf>
    <xf numFmtId="178" fontId="1" fillId="0" borderId="39" xfId="0" applyNumberFormat="1" applyFont="1" applyBorder="1"/>
    <xf numFmtId="170" fontId="0" fillId="0" borderId="0" xfId="0" applyNumberFormat="1"/>
    <xf numFmtId="0" fontId="7" fillId="0" borderId="2" xfId="0" applyFont="1" applyBorder="1"/>
    <xf numFmtId="0" fontId="11" fillId="3" borderId="13" xfId="0" applyFont="1" applyFill="1" applyBorder="1" applyAlignment="1">
      <alignment horizontal="center" vertical="center" wrapText="1"/>
    </xf>
    <xf numFmtId="181" fontId="11" fillId="3" borderId="13" xfId="0" applyNumberFormat="1" applyFont="1" applyFill="1" applyBorder="1" applyAlignment="1">
      <alignment horizontal="center" vertical="center" wrapText="1"/>
    </xf>
    <xf numFmtId="181" fontId="13" fillId="3" borderId="13" xfId="0" applyNumberFormat="1" applyFont="1" applyFill="1" applyBorder="1" applyAlignment="1">
      <alignment horizontal="center" vertical="center" wrapText="1"/>
    </xf>
    <xf numFmtId="181" fontId="13" fillId="3" borderId="15" xfId="0" applyNumberFormat="1" applyFont="1" applyFill="1" applyBorder="1" applyAlignment="1">
      <alignment horizontal="center" vertical="center" wrapText="1"/>
    </xf>
    <xf numFmtId="3" fontId="11" fillId="3" borderId="28" xfId="0" applyNumberFormat="1" applyFont="1" applyFill="1" applyBorder="1" applyAlignment="1">
      <alignment vertical="center" wrapText="1"/>
    </xf>
    <xf numFmtId="1" fontId="11" fillId="6" borderId="59" xfId="0" applyNumberFormat="1" applyFont="1" applyFill="1" applyBorder="1" applyAlignment="1">
      <alignment horizontal="left" vertical="center" wrapText="1"/>
    </xf>
    <xf numFmtId="0" fontId="11" fillId="6" borderId="11" xfId="0" applyFont="1" applyFill="1" applyBorder="1" applyAlignment="1">
      <alignment vertical="center"/>
    </xf>
    <xf numFmtId="0" fontId="11" fillId="6" borderId="11" xfId="0" applyFont="1" applyFill="1" applyBorder="1" applyAlignment="1">
      <alignment horizontal="justify" vertical="center"/>
    </xf>
    <xf numFmtId="0" fontId="13" fillId="6" borderId="11" xfId="0" applyFont="1" applyFill="1" applyBorder="1" applyAlignment="1">
      <alignment vertical="center"/>
    </xf>
    <xf numFmtId="0" fontId="11" fillId="6" borderId="11" xfId="0" applyFont="1" applyFill="1" applyBorder="1" applyAlignment="1">
      <alignment horizontal="center" vertical="center"/>
    </xf>
    <xf numFmtId="180" fontId="11" fillId="6" borderId="11" xfId="0" applyNumberFormat="1" applyFont="1" applyFill="1" applyBorder="1" applyAlignment="1">
      <alignment horizontal="center" vertical="center"/>
    </xf>
    <xf numFmtId="170" fontId="11" fillId="6" borderId="11" xfId="0" applyNumberFormat="1" applyFont="1" applyFill="1" applyBorder="1" applyAlignment="1">
      <alignment vertical="center"/>
    </xf>
    <xf numFmtId="170" fontId="11" fillId="6" borderId="11" xfId="0" applyNumberFormat="1" applyFont="1" applyFill="1" applyBorder="1" applyAlignment="1">
      <alignment horizontal="center" vertical="center"/>
    </xf>
    <xf numFmtId="170" fontId="13" fillId="6" borderId="11" xfId="0" applyNumberFormat="1" applyFont="1" applyFill="1" applyBorder="1" applyAlignment="1">
      <alignment horizontal="center" vertical="center"/>
    </xf>
    <xf numFmtId="1" fontId="11" fillId="6" borderId="11" xfId="0" applyNumberFormat="1" applyFont="1" applyFill="1" applyBorder="1" applyAlignment="1">
      <alignment horizontal="center" vertical="center"/>
    </xf>
    <xf numFmtId="172" fontId="11" fillId="6" borderId="11" xfId="8" applyNumberFormat="1" applyFont="1" applyFill="1" applyBorder="1" applyAlignment="1">
      <alignment vertical="center"/>
    </xf>
    <xf numFmtId="181" fontId="11" fillId="6" borderId="11" xfId="0" applyNumberFormat="1" applyFont="1" applyFill="1" applyBorder="1" applyAlignment="1">
      <alignment vertical="center"/>
    </xf>
    <xf numFmtId="181" fontId="13" fillId="6" borderId="11" xfId="0" applyNumberFormat="1" applyFont="1" applyFill="1" applyBorder="1" applyAlignment="1">
      <alignment vertical="center"/>
    </xf>
    <xf numFmtId="0" fontId="11" fillId="6" borderId="50" xfId="0" applyFont="1" applyFill="1" applyBorder="1" applyAlignment="1">
      <alignment horizontal="justify" vertical="center"/>
    </xf>
    <xf numFmtId="0" fontId="7" fillId="0" borderId="0" xfId="0" applyFont="1" applyBorder="1"/>
    <xf numFmtId="0" fontId="11" fillId="2" borderId="0" xfId="0" applyFont="1" applyFill="1" applyBorder="1" applyAlignment="1">
      <alignment horizontal="center" vertical="center" wrapText="1"/>
    </xf>
    <xf numFmtId="0" fontId="11" fillId="11" borderId="2" xfId="0" applyFont="1" applyFill="1" applyBorder="1" applyAlignment="1">
      <alignment vertical="center"/>
    </xf>
    <xf numFmtId="0" fontId="11" fillId="11" borderId="2" xfId="0" applyFont="1" applyFill="1" applyBorder="1" applyAlignment="1">
      <alignment horizontal="justify" vertical="center"/>
    </xf>
    <xf numFmtId="0" fontId="13" fillId="11" borderId="2" xfId="0" applyFont="1" applyFill="1" applyBorder="1" applyAlignment="1">
      <alignment vertical="center"/>
    </xf>
    <xf numFmtId="0" fontId="11" fillId="11" borderId="2" xfId="0" applyFont="1" applyFill="1" applyBorder="1" applyAlignment="1">
      <alignment horizontal="center" vertical="center"/>
    </xf>
    <xf numFmtId="180" fontId="11" fillId="11" borderId="2" xfId="0" applyNumberFormat="1" applyFont="1" applyFill="1" applyBorder="1" applyAlignment="1">
      <alignment horizontal="center" vertical="center"/>
    </xf>
    <xf numFmtId="170" fontId="11" fillId="11" borderId="2" xfId="0" applyNumberFormat="1" applyFont="1" applyFill="1" applyBorder="1" applyAlignment="1">
      <alignment vertical="center"/>
    </xf>
    <xf numFmtId="170" fontId="11" fillId="11" borderId="2" xfId="0" applyNumberFormat="1" applyFont="1" applyFill="1" applyBorder="1" applyAlignment="1">
      <alignment horizontal="center" vertical="center"/>
    </xf>
    <xf numFmtId="170" fontId="13" fillId="11" borderId="2" xfId="0" applyNumberFormat="1" applyFont="1" applyFill="1" applyBorder="1" applyAlignment="1">
      <alignment horizontal="center" vertical="center"/>
    </xf>
    <xf numFmtId="1" fontId="11" fillId="11" borderId="2" xfId="0" applyNumberFormat="1" applyFont="1" applyFill="1" applyBorder="1" applyAlignment="1">
      <alignment horizontal="center" vertical="center"/>
    </xf>
    <xf numFmtId="172" fontId="11" fillId="11" borderId="2" xfId="8" applyNumberFormat="1" applyFont="1" applyFill="1" applyBorder="1" applyAlignment="1">
      <alignment vertical="center"/>
    </xf>
    <xf numFmtId="181" fontId="11" fillId="11" borderId="2" xfId="0" applyNumberFormat="1" applyFont="1" applyFill="1" applyBorder="1" applyAlignment="1">
      <alignment vertical="center"/>
    </xf>
    <xf numFmtId="181" fontId="13" fillId="11" borderId="2" xfId="0" applyNumberFormat="1" applyFont="1" applyFill="1" applyBorder="1" applyAlignment="1">
      <alignment vertical="center"/>
    </xf>
    <xf numFmtId="0" fontId="11" fillId="11" borderId="60" xfId="0" applyFont="1" applyFill="1" applyBorder="1" applyAlignment="1">
      <alignment horizontal="justify" vertical="center"/>
    </xf>
    <xf numFmtId="0" fontId="7" fillId="2" borderId="0" xfId="0" applyFont="1" applyFill="1"/>
    <xf numFmtId="0" fontId="11" fillId="2" borderId="4" xfId="0" applyFont="1" applyFill="1" applyBorder="1" applyAlignment="1">
      <alignment horizontal="center" vertical="center" wrapText="1"/>
    </xf>
    <xf numFmtId="0" fontId="11" fillId="7" borderId="11" xfId="0" applyFont="1" applyFill="1" applyBorder="1" applyAlignment="1">
      <alignment vertical="center"/>
    </xf>
    <xf numFmtId="0" fontId="11" fillId="7" borderId="11" xfId="0" applyFont="1" applyFill="1" applyBorder="1" applyAlignment="1">
      <alignment horizontal="justify" vertical="center"/>
    </xf>
    <xf numFmtId="0" fontId="11" fillId="7" borderId="11" xfId="0" applyFont="1" applyFill="1" applyBorder="1" applyAlignment="1">
      <alignment horizontal="center" vertical="center"/>
    </xf>
    <xf numFmtId="180" fontId="11" fillId="7" borderId="11" xfId="0" applyNumberFormat="1" applyFont="1" applyFill="1" applyBorder="1" applyAlignment="1">
      <alignment horizontal="center" vertical="center"/>
    </xf>
    <xf numFmtId="170" fontId="11" fillId="7" borderId="11" xfId="0" applyNumberFormat="1" applyFont="1" applyFill="1" applyBorder="1" applyAlignment="1">
      <alignment vertical="center"/>
    </xf>
    <xf numFmtId="170" fontId="11" fillId="7" borderId="11" xfId="0" applyNumberFormat="1" applyFont="1" applyFill="1" applyBorder="1" applyAlignment="1">
      <alignment horizontal="center" vertical="center"/>
    </xf>
    <xf numFmtId="172" fontId="11" fillId="7" borderId="11" xfId="8" applyNumberFormat="1" applyFont="1" applyFill="1" applyBorder="1" applyAlignment="1">
      <alignment vertical="center"/>
    </xf>
    <xf numFmtId="181" fontId="11" fillId="7" borderId="11" xfId="0" applyNumberFormat="1" applyFont="1" applyFill="1" applyBorder="1" applyAlignment="1">
      <alignment vertical="center"/>
    </xf>
    <xf numFmtId="181" fontId="13" fillId="7" borderId="11" xfId="0" applyNumberFormat="1" applyFont="1" applyFill="1" applyBorder="1" applyAlignment="1">
      <alignment vertical="center"/>
    </xf>
    <xf numFmtId="0" fontId="7" fillId="2" borderId="15" xfId="0" applyFont="1" applyFill="1" applyBorder="1" applyAlignment="1">
      <alignment horizontal="center" vertical="center" wrapText="1"/>
    </xf>
    <xf numFmtId="0" fontId="7" fillId="2" borderId="8" xfId="0" applyFont="1" applyFill="1" applyBorder="1" applyAlignment="1">
      <alignment horizontal="justify" vertical="center" wrapText="1"/>
    </xf>
    <xf numFmtId="1" fontId="7" fillId="0" borderId="36" xfId="0" applyNumberFormat="1" applyFont="1" applyBorder="1"/>
    <xf numFmtId="0" fontId="11" fillId="7" borderId="11" xfId="0" applyFont="1" applyFill="1" applyBorder="1" applyAlignment="1">
      <alignment horizontal="justify" vertical="center" wrapText="1"/>
    </xf>
    <xf numFmtId="170" fontId="13" fillId="7" borderId="2" xfId="0" applyNumberFormat="1" applyFont="1" applyFill="1" applyBorder="1" applyAlignment="1">
      <alignment horizontal="center" vertical="center"/>
    </xf>
    <xf numFmtId="1" fontId="11" fillId="7" borderId="2" xfId="0" applyNumberFormat="1" applyFont="1" applyFill="1" applyBorder="1" applyAlignment="1">
      <alignment horizontal="center" vertical="center"/>
    </xf>
    <xf numFmtId="0" fontId="11" fillId="7" borderId="2" xfId="0" applyFont="1" applyFill="1" applyBorder="1" applyAlignment="1">
      <alignment horizontal="center" vertical="center"/>
    </xf>
    <xf numFmtId="1" fontId="7" fillId="2" borderId="36" xfId="0" applyNumberFormat="1" applyFont="1" applyFill="1" applyBorder="1"/>
    <xf numFmtId="0" fontId="7" fillId="2" borderId="0" xfId="0" applyFont="1" applyFill="1" applyBorder="1"/>
    <xf numFmtId="0" fontId="7" fillId="2" borderId="15" xfId="0" applyFont="1" applyFill="1" applyBorder="1"/>
    <xf numFmtId="0" fontId="7" fillId="2" borderId="4" xfId="0" applyFont="1" applyFill="1" applyBorder="1"/>
    <xf numFmtId="170" fontId="7" fillId="2" borderId="1" xfId="0" applyNumberFormat="1" applyFont="1" applyFill="1" applyBorder="1" applyAlignment="1">
      <alignment horizontal="center" vertical="center"/>
    </xf>
    <xf numFmtId="170" fontId="12" fillId="2" borderId="1" xfId="0" applyNumberFormat="1" applyFont="1" applyFill="1" applyBorder="1" applyAlignment="1">
      <alignment horizontal="center" vertical="center"/>
    </xf>
    <xf numFmtId="1" fontId="7" fillId="2" borderId="6" xfId="0" applyNumberFormat="1" applyFont="1" applyFill="1" applyBorder="1" applyAlignment="1">
      <alignment horizontal="center" wrapText="1"/>
    </xf>
    <xf numFmtId="1" fontId="11" fillId="11" borderId="4" xfId="0" applyNumberFormat="1" applyFont="1" applyFill="1" applyBorder="1" applyAlignment="1">
      <alignment horizontal="center" vertical="center"/>
    </xf>
    <xf numFmtId="0" fontId="11" fillId="11" borderId="12" xfId="0" applyFont="1" applyFill="1" applyBorder="1" applyAlignment="1">
      <alignment vertical="center"/>
    </xf>
    <xf numFmtId="0" fontId="11" fillId="11" borderId="11" xfId="0" applyFont="1" applyFill="1" applyBorder="1" applyAlignment="1">
      <alignment horizontal="justify" vertical="center"/>
    </xf>
    <xf numFmtId="0" fontId="11" fillId="11" borderId="11" xfId="0" applyFont="1" applyFill="1" applyBorder="1" applyAlignment="1">
      <alignment horizontal="center" vertical="center"/>
    </xf>
    <xf numFmtId="180" fontId="11" fillId="11" borderId="11" xfId="0" applyNumberFormat="1" applyFont="1" applyFill="1" applyBorder="1" applyAlignment="1">
      <alignment horizontal="center" vertical="center"/>
    </xf>
    <xf numFmtId="170" fontId="11" fillId="11" borderId="11" xfId="0" applyNumberFormat="1" applyFont="1" applyFill="1" applyBorder="1" applyAlignment="1">
      <alignment vertical="center"/>
    </xf>
    <xf numFmtId="0" fontId="11" fillId="11" borderId="11" xfId="0" applyFont="1" applyFill="1" applyBorder="1" applyAlignment="1">
      <alignment horizontal="justify" vertical="center" wrapText="1"/>
    </xf>
    <xf numFmtId="170" fontId="13" fillId="11" borderId="11" xfId="0" applyNumberFormat="1" applyFont="1" applyFill="1" applyBorder="1" applyAlignment="1">
      <alignment vertical="center"/>
    </xf>
    <xf numFmtId="1" fontId="11" fillId="11" borderId="11" xfId="0" applyNumberFormat="1" applyFont="1" applyFill="1" applyBorder="1" applyAlignment="1">
      <alignment vertical="center"/>
    </xf>
    <xf numFmtId="181" fontId="11" fillId="11" borderId="11" xfId="0" applyNumberFormat="1" applyFont="1" applyFill="1" applyBorder="1" applyAlignment="1">
      <alignment vertical="center"/>
    </xf>
    <xf numFmtId="181" fontId="13" fillId="11" borderId="11" xfId="0" applyNumberFormat="1" applyFont="1" applyFill="1" applyBorder="1" applyAlignment="1">
      <alignment vertical="center"/>
    </xf>
    <xf numFmtId="0" fontId="7" fillId="0" borderId="15" xfId="0" applyFont="1" applyBorder="1"/>
    <xf numFmtId="0" fontId="7" fillId="0" borderId="14" xfId="0" applyFont="1" applyBorder="1"/>
    <xf numFmtId="1" fontId="11" fillId="7" borderId="11" xfId="0" applyNumberFormat="1" applyFont="1" applyFill="1" applyBorder="1" applyAlignment="1">
      <alignment horizontal="left" vertical="center" wrapText="1" indent="1"/>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170" fontId="12" fillId="2" borderId="6" xfId="0" applyNumberFormat="1" applyFont="1" applyFill="1" applyBorder="1" applyAlignment="1">
      <alignment horizontal="center" vertical="center"/>
    </xf>
    <xf numFmtId="0" fontId="7" fillId="0" borderId="9" xfId="0" applyFont="1" applyBorder="1"/>
    <xf numFmtId="172" fontId="11" fillId="11" borderId="11" xfId="8" applyNumberFormat="1" applyFont="1" applyFill="1" applyBorder="1" applyAlignment="1">
      <alignment vertical="center"/>
    </xf>
    <xf numFmtId="0" fontId="11" fillId="7" borderId="2" xfId="0" applyFont="1" applyFill="1" applyBorder="1" applyAlignment="1">
      <alignment vertical="center"/>
    </xf>
    <xf numFmtId="0" fontId="11" fillId="7" borderId="2" xfId="0" applyFont="1" applyFill="1" applyBorder="1" applyAlignment="1">
      <alignment horizontal="justify" vertical="center"/>
    </xf>
    <xf numFmtId="0" fontId="13" fillId="7" borderId="2" xfId="0" applyFont="1" applyFill="1" applyBorder="1" applyAlignment="1">
      <alignment vertical="center"/>
    </xf>
    <xf numFmtId="180" fontId="11" fillId="7" borderId="2" xfId="0" applyNumberFormat="1" applyFont="1" applyFill="1" applyBorder="1" applyAlignment="1">
      <alignment horizontal="center" vertical="center"/>
    </xf>
    <xf numFmtId="170" fontId="11" fillId="7" borderId="2" xfId="0" applyNumberFormat="1" applyFont="1" applyFill="1" applyBorder="1" applyAlignment="1">
      <alignment vertical="center"/>
    </xf>
    <xf numFmtId="0" fontId="11" fillId="7" borderId="2" xfId="0" applyFont="1" applyFill="1" applyBorder="1" applyAlignment="1">
      <alignment horizontal="justify" vertical="center" wrapText="1"/>
    </xf>
    <xf numFmtId="170" fontId="13" fillId="7" borderId="2" xfId="0" applyNumberFormat="1" applyFont="1" applyFill="1" applyBorder="1" applyAlignment="1">
      <alignment vertical="center"/>
    </xf>
    <xf numFmtId="1" fontId="11" fillId="7" borderId="2" xfId="0" applyNumberFormat="1" applyFont="1" applyFill="1" applyBorder="1" applyAlignment="1">
      <alignment vertical="center"/>
    </xf>
    <xf numFmtId="172" fontId="11" fillId="7" borderId="2" xfId="8" applyNumberFormat="1" applyFont="1" applyFill="1" applyBorder="1" applyAlignment="1">
      <alignment vertical="center"/>
    </xf>
    <xf numFmtId="181" fontId="11" fillId="7" borderId="2" xfId="0" applyNumberFormat="1" applyFont="1" applyFill="1" applyBorder="1" applyAlignment="1">
      <alignment vertical="center"/>
    </xf>
    <xf numFmtId="181" fontId="13" fillId="7" borderId="2" xfId="0" applyNumberFormat="1" applyFont="1" applyFill="1" applyBorder="1" applyAlignment="1">
      <alignment vertical="center"/>
    </xf>
    <xf numFmtId="0" fontId="11" fillId="7" borderId="60" xfId="0" applyFont="1" applyFill="1" applyBorder="1" applyAlignment="1">
      <alignment horizontal="justify" vertical="center"/>
    </xf>
    <xf numFmtId="0" fontId="7" fillId="0" borderId="0" xfId="0" applyFont="1" applyFill="1" applyBorder="1"/>
    <xf numFmtId="170" fontId="12" fillId="0" borderId="1" xfId="0" applyNumberFormat="1" applyFont="1" applyFill="1" applyBorder="1" applyAlignment="1">
      <alignment horizontal="center" vertical="center"/>
    </xf>
    <xf numFmtId="0" fontId="7" fillId="2" borderId="15" xfId="0" applyFont="1" applyFill="1" applyBorder="1" applyAlignment="1">
      <alignment horizontal="justify" vertical="center" wrapText="1"/>
    </xf>
    <xf numFmtId="181" fontId="12" fillId="2" borderId="15" xfId="0" applyNumberFormat="1" applyFont="1" applyFill="1" applyBorder="1" applyAlignment="1">
      <alignment horizontal="center" vertical="center"/>
    </xf>
    <xf numFmtId="1" fontId="7" fillId="2" borderId="0" xfId="0" applyNumberFormat="1" applyFont="1" applyFill="1" applyBorder="1" applyAlignment="1">
      <alignment vertical="center" wrapText="1"/>
    </xf>
    <xf numFmtId="1" fontId="12" fillId="2" borderId="0" xfId="0" applyNumberFormat="1" applyFont="1" applyFill="1" applyBorder="1" applyAlignment="1">
      <alignment vertical="center" wrapText="1"/>
    </xf>
    <xf numFmtId="1" fontId="7" fillId="2" borderId="13" xfId="0" applyNumberFormat="1" applyFont="1" applyFill="1" applyBorder="1" applyAlignment="1">
      <alignment vertical="center" wrapText="1"/>
    </xf>
    <xf numFmtId="166" fontId="7" fillId="2" borderId="13" xfId="8" applyFont="1" applyFill="1" applyBorder="1" applyAlignment="1">
      <alignment vertical="center"/>
    </xf>
    <xf numFmtId="1" fontId="7" fillId="2" borderId="0" xfId="0" applyNumberFormat="1" applyFont="1" applyFill="1" applyBorder="1" applyAlignment="1">
      <alignment horizontal="center" vertical="center" wrapText="1"/>
    </xf>
    <xf numFmtId="0" fontId="7" fillId="2" borderId="0" xfId="0" applyFont="1" applyFill="1" applyBorder="1" applyAlignment="1">
      <alignment horizontal="justify" vertical="center" wrapText="1"/>
    </xf>
    <xf numFmtId="0" fontId="7" fillId="2" borderId="0" xfId="0" applyFont="1" applyFill="1" applyBorder="1" applyAlignment="1">
      <alignment horizontal="center" vertical="center"/>
    </xf>
    <xf numFmtId="1" fontId="7" fillId="2" borderId="0"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0" fontId="7" fillId="2" borderId="0" xfId="0" applyFont="1" applyFill="1" applyBorder="1" applyAlignment="1">
      <alignment horizontal="justify" vertical="center"/>
    </xf>
    <xf numFmtId="180" fontId="7" fillId="2" borderId="0" xfId="0" applyNumberFormat="1" applyFont="1" applyFill="1" applyBorder="1" applyAlignment="1">
      <alignment horizontal="center" vertical="center"/>
    </xf>
    <xf numFmtId="170" fontId="7" fillId="2" borderId="0" xfId="0" applyNumberFormat="1" applyFont="1" applyFill="1" applyBorder="1" applyAlignment="1">
      <alignment horizontal="center" vertical="center"/>
    </xf>
    <xf numFmtId="170" fontId="12" fillId="2" borderId="0" xfId="0" applyNumberFormat="1" applyFont="1" applyFill="1" applyBorder="1" applyAlignment="1">
      <alignment horizontal="center" vertical="center"/>
    </xf>
    <xf numFmtId="1" fontId="7" fillId="2" borderId="0" xfId="0" applyNumberFormat="1" applyFont="1" applyFill="1" applyBorder="1" applyAlignment="1">
      <alignment horizontal="center" vertical="center" textRotation="180" wrapText="1"/>
    </xf>
    <xf numFmtId="1" fontId="12" fillId="2" borderId="0" xfId="0" applyNumberFormat="1" applyFont="1" applyFill="1" applyBorder="1" applyAlignment="1">
      <alignment horizontal="center" vertical="center" textRotation="180" wrapText="1"/>
    </xf>
    <xf numFmtId="172" fontId="7" fillId="2" borderId="0" xfId="8" applyNumberFormat="1" applyFont="1" applyFill="1" applyBorder="1" applyAlignment="1">
      <alignment horizontal="center" vertical="center"/>
    </xf>
    <xf numFmtId="181" fontId="7" fillId="2" borderId="0" xfId="0" applyNumberFormat="1" applyFont="1" applyFill="1" applyBorder="1" applyAlignment="1">
      <alignment horizontal="center" vertical="center"/>
    </xf>
    <xf numFmtId="181" fontId="12" fillId="2" borderId="0" xfId="0" applyNumberFormat="1" applyFont="1" applyFill="1" applyBorder="1" applyAlignment="1">
      <alignment horizontal="center" vertical="center"/>
    </xf>
    <xf numFmtId="0" fontId="7" fillId="2" borderId="47" xfId="0" applyFont="1" applyFill="1" applyBorder="1" applyAlignment="1">
      <alignment horizontal="justify" vertical="center"/>
    </xf>
    <xf numFmtId="0" fontId="11" fillId="2" borderId="40" xfId="0" applyFont="1" applyFill="1" applyBorder="1" applyAlignment="1">
      <alignment horizontal="justify" vertical="center"/>
    </xf>
    <xf numFmtId="0" fontId="11" fillId="2" borderId="41" xfId="0" applyFont="1" applyFill="1" applyBorder="1" applyAlignment="1">
      <alignment horizontal="justify" vertical="center"/>
    </xf>
    <xf numFmtId="170" fontId="13" fillId="0" borderId="48" xfId="0" applyNumberFormat="1" applyFont="1" applyFill="1" applyBorder="1" applyAlignment="1">
      <alignment vertical="center"/>
    </xf>
    <xf numFmtId="1" fontId="11" fillId="2" borderId="40" xfId="0" applyNumberFormat="1" applyFont="1" applyFill="1" applyBorder="1" applyAlignment="1">
      <alignment horizontal="center" vertical="center"/>
    </xf>
    <xf numFmtId="0" fontId="11" fillId="2" borderId="39" xfId="0" applyFont="1" applyFill="1" applyBorder="1" applyAlignment="1">
      <alignment horizontal="center" vertical="center"/>
    </xf>
    <xf numFmtId="0" fontId="11" fillId="0" borderId="39" xfId="0" applyFont="1" applyBorder="1"/>
    <xf numFmtId="0" fontId="13" fillId="0" borderId="39" xfId="0" applyFont="1" applyBorder="1"/>
    <xf numFmtId="3" fontId="11" fillId="0" borderId="48" xfId="0" applyNumberFormat="1" applyFont="1" applyFill="1" applyBorder="1" applyAlignment="1">
      <alignment horizontal="center" vertical="center"/>
    </xf>
    <xf numFmtId="0" fontId="11" fillId="0" borderId="39" xfId="0" applyFont="1" applyBorder="1" applyAlignment="1">
      <alignment horizontal="center"/>
    </xf>
    <xf numFmtId="181" fontId="11" fillId="0" borderId="39" xfId="0" applyNumberFormat="1" applyFont="1" applyFill="1" applyBorder="1" applyAlignment="1">
      <alignment horizontal="right" vertical="center"/>
    </xf>
    <xf numFmtId="181" fontId="13" fillId="0" borderId="39" xfId="0" applyNumberFormat="1" applyFont="1" applyFill="1" applyBorder="1" applyAlignment="1">
      <alignment horizontal="right" vertical="center"/>
    </xf>
    <xf numFmtId="181" fontId="11" fillId="0" borderId="39" xfId="0" applyNumberFormat="1" applyFont="1" applyBorder="1" applyAlignment="1">
      <alignment horizontal="center"/>
    </xf>
    <xf numFmtId="181" fontId="13" fillId="0" borderId="39" xfId="0" applyNumberFormat="1" applyFont="1" applyBorder="1" applyAlignment="1">
      <alignment horizontal="center"/>
    </xf>
    <xf numFmtId="0" fontId="11" fillId="0" borderId="41" xfId="0" applyFont="1" applyBorder="1" applyAlignment="1">
      <alignment horizontal="justify" vertical="center"/>
    </xf>
    <xf numFmtId="0" fontId="11" fillId="0" borderId="0" xfId="0" applyFont="1"/>
    <xf numFmtId="1" fontId="7" fillId="0" borderId="0" xfId="0" applyNumberFormat="1" applyFont="1"/>
    <xf numFmtId="0" fontId="7" fillId="2" borderId="0" xfId="0" applyFont="1" applyFill="1" applyAlignment="1">
      <alignment horizontal="justify" vertical="center"/>
    </xf>
    <xf numFmtId="0" fontId="12" fillId="2" borderId="0" xfId="0" applyFont="1" applyFill="1"/>
    <xf numFmtId="0" fontId="7" fillId="2" borderId="0" xfId="0" applyFont="1" applyFill="1" applyAlignment="1">
      <alignment horizontal="center"/>
    </xf>
    <xf numFmtId="180" fontId="7" fillId="2" borderId="0" xfId="0" applyNumberFormat="1" applyFont="1" applyFill="1" applyAlignment="1">
      <alignment horizontal="center" vertical="center"/>
    </xf>
    <xf numFmtId="170" fontId="7" fillId="2" borderId="0" xfId="0" applyNumberFormat="1" applyFont="1" applyFill="1" applyAlignment="1">
      <alignment vertical="center"/>
    </xf>
    <xf numFmtId="170" fontId="7" fillId="2" borderId="0" xfId="0" applyNumberFormat="1" applyFont="1" applyFill="1" applyAlignment="1">
      <alignment horizontal="center" vertical="center"/>
    </xf>
    <xf numFmtId="170" fontId="12" fillId="2" borderId="0" xfId="0" applyNumberFormat="1" applyFont="1" applyFill="1" applyAlignment="1">
      <alignment horizontal="center" vertical="center"/>
    </xf>
    <xf numFmtId="1" fontId="7" fillId="2" borderId="0" xfId="0" applyNumberFormat="1" applyFont="1" applyFill="1" applyAlignment="1">
      <alignment horizontal="center" vertical="center"/>
    </xf>
    <xf numFmtId="0" fontId="7" fillId="2" borderId="0" xfId="0" applyFont="1" applyFill="1" applyAlignment="1">
      <alignment horizontal="center" vertical="center"/>
    </xf>
    <xf numFmtId="172" fontId="7" fillId="0" borderId="0" xfId="8" applyNumberFormat="1" applyFont="1"/>
    <xf numFmtId="0" fontId="7" fillId="0" borderId="0" xfId="0" applyFont="1" applyAlignment="1">
      <alignment horizontal="center"/>
    </xf>
    <xf numFmtId="181" fontId="7" fillId="0" borderId="0" xfId="0" applyNumberFormat="1" applyFont="1" applyFill="1" applyAlignment="1">
      <alignment horizontal="right" vertical="center"/>
    </xf>
    <xf numFmtId="181" fontId="12" fillId="0" borderId="0" xfId="0" applyNumberFormat="1" applyFont="1" applyFill="1" applyAlignment="1">
      <alignment horizontal="right" vertical="center"/>
    </xf>
    <xf numFmtId="181" fontId="7" fillId="0" borderId="0" xfId="0" applyNumberFormat="1" applyFont="1" applyAlignment="1">
      <alignment horizontal="center"/>
    </xf>
    <xf numFmtId="181" fontId="12" fillId="0" borderId="0" xfId="0" applyNumberFormat="1" applyFont="1" applyAlignment="1">
      <alignment horizontal="center"/>
    </xf>
    <xf numFmtId="0" fontId="7" fillId="0" borderId="0" xfId="0" applyFont="1" applyAlignment="1">
      <alignment horizontal="justify" vertical="center"/>
    </xf>
    <xf numFmtId="0" fontId="13" fillId="8" borderId="11" xfId="0" applyFont="1" applyFill="1" applyBorder="1" applyAlignment="1">
      <alignment vertical="center"/>
    </xf>
    <xf numFmtId="0" fontId="3" fillId="8" borderId="11" xfId="0" applyFont="1" applyFill="1" applyBorder="1" applyAlignment="1">
      <alignment horizontal="justify" vertical="center"/>
    </xf>
    <xf numFmtId="0" fontId="1" fillId="0" borderId="0" xfId="0" applyFont="1" applyFill="1" applyBorder="1"/>
    <xf numFmtId="0" fontId="1" fillId="2" borderId="0" xfId="0" applyFont="1" applyFill="1" applyAlignment="1">
      <alignment horizontal="center" vertical="center"/>
    </xf>
    <xf numFmtId="43" fontId="7" fillId="0" borderId="0" xfId="13" applyFont="1" applyFill="1" applyBorder="1" applyAlignment="1">
      <alignment horizontal="justify" vertical="center"/>
    </xf>
    <xf numFmtId="0" fontId="1" fillId="2" borderId="0" xfId="0" applyFont="1" applyFill="1" applyBorder="1" applyAlignment="1">
      <alignment horizontal="justify" vertical="center"/>
    </xf>
    <xf numFmtId="0" fontId="1" fillId="2" borderId="0" xfId="0" applyFont="1" applyFill="1" applyBorder="1" applyAlignment="1">
      <alignment horizontal="center" vertical="center"/>
    </xf>
    <xf numFmtId="0" fontId="12" fillId="0" borderId="0" xfId="0" applyFont="1" applyFill="1" applyAlignment="1">
      <alignment horizontal="right" vertical="center"/>
    </xf>
    <xf numFmtId="169" fontId="12" fillId="0" borderId="0" xfId="0" applyNumberFormat="1" applyFont="1" applyAlignment="1">
      <alignment horizontal="center"/>
    </xf>
    <xf numFmtId="0" fontId="13" fillId="13" borderId="13" xfId="0" applyFont="1" applyFill="1" applyBorder="1" applyAlignment="1">
      <alignment horizontal="center" vertical="center" wrapText="1"/>
    </xf>
    <xf numFmtId="0" fontId="13" fillId="13" borderId="1" xfId="0" applyFont="1" applyFill="1" applyBorder="1" applyAlignment="1">
      <alignment horizontal="center" vertical="center" wrapText="1"/>
    </xf>
    <xf numFmtId="169" fontId="3" fillId="13" borderId="1" xfId="0" applyNumberFormat="1" applyFont="1" applyFill="1" applyBorder="1" applyAlignment="1">
      <alignment horizontal="center" vertical="center" wrapText="1"/>
    </xf>
    <xf numFmtId="169" fontId="13" fillId="13" borderId="1" xfId="0" applyNumberFormat="1" applyFont="1" applyFill="1" applyBorder="1" applyAlignment="1">
      <alignment horizontal="center" vertical="center" wrapText="1"/>
    </xf>
    <xf numFmtId="169" fontId="13" fillId="13" borderId="7"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8" borderId="50" xfId="0" applyFont="1" applyFill="1" applyBorder="1" applyAlignment="1">
      <alignment vertical="center"/>
    </xf>
    <xf numFmtId="170" fontId="1" fillId="2" borderId="1" xfId="0" applyNumberFormat="1" applyFont="1" applyFill="1" applyBorder="1" applyAlignment="1">
      <alignment horizontal="justify" vertical="center" wrapText="1"/>
    </xf>
    <xf numFmtId="1" fontId="1" fillId="2" borderId="6" xfId="0" applyNumberFormat="1" applyFont="1" applyFill="1" applyBorder="1" applyAlignment="1">
      <alignment vertical="center" textRotation="180" wrapText="1"/>
    </xf>
    <xf numFmtId="1" fontId="12" fillId="2" borderId="6" xfId="0" applyNumberFormat="1" applyFont="1" applyFill="1" applyBorder="1" applyAlignment="1">
      <alignment vertical="center" textRotation="180" wrapText="1"/>
    </xf>
    <xf numFmtId="4" fontId="1" fillId="2" borderId="1" xfId="0" applyNumberFormat="1" applyFont="1" applyFill="1" applyBorder="1" applyAlignment="1">
      <alignment horizontal="right" vertical="center" wrapText="1"/>
    </xf>
    <xf numFmtId="9" fontId="1" fillId="2" borderId="1" xfId="0" applyNumberFormat="1" applyFont="1" applyFill="1" applyBorder="1" applyAlignment="1">
      <alignment horizontal="center" vertical="center" wrapText="1"/>
    </xf>
    <xf numFmtId="3" fontId="1" fillId="2" borderId="33"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170"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vertical="center" wrapText="1"/>
    </xf>
    <xf numFmtId="0" fontId="1" fillId="0" borderId="0" xfId="0" applyFont="1" applyFill="1" applyAlignment="1">
      <alignment horizontal="left"/>
    </xf>
    <xf numFmtId="0" fontId="1" fillId="2" borderId="0" xfId="0" applyFont="1" applyFill="1" applyAlignment="1">
      <alignment horizontal="left"/>
    </xf>
    <xf numFmtId="0" fontId="3" fillId="7" borderId="7" xfId="0" applyFont="1" applyFill="1" applyBorder="1" applyAlignment="1">
      <alignment horizontal="left" vertical="center"/>
    </xf>
    <xf numFmtId="170" fontId="1" fillId="2" borderId="1" xfId="0" applyNumberFormat="1" applyFont="1" applyFill="1" applyBorder="1" applyAlignment="1">
      <alignment horizontal="right" vertical="center" wrapText="1"/>
    </xf>
    <xf numFmtId="170" fontId="12" fillId="2" borderId="1" xfId="0" applyNumberFormat="1" applyFont="1" applyFill="1" applyBorder="1" applyAlignment="1">
      <alignment horizontal="right" vertical="center" wrapText="1"/>
    </xf>
    <xf numFmtId="4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vertical="center" textRotation="180" wrapText="1"/>
    </xf>
    <xf numFmtId="1" fontId="12" fillId="2" borderId="1" xfId="0" applyNumberFormat="1" applyFont="1" applyFill="1" applyBorder="1" applyAlignment="1">
      <alignment vertical="center" textRotation="180"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xf>
    <xf numFmtId="0" fontId="1" fillId="12" borderId="3" xfId="0" applyFont="1" applyFill="1" applyBorder="1" applyAlignment="1">
      <alignment horizontal="left"/>
    </xf>
    <xf numFmtId="0" fontId="1" fillId="12" borderId="1" xfId="0" applyFont="1" applyFill="1" applyBorder="1" applyAlignment="1">
      <alignment horizontal="left"/>
    </xf>
    <xf numFmtId="2" fontId="1" fillId="2" borderId="6" xfId="0" applyNumberFormat="1" applyFont="1" applyFill="1" applyBorder="1" applyAlignment="1">
      <alignment horizontal="left" vertical="center" wrapText="1" indent="1"/>
    </xf>
    <xf numFmtId="170" fontId="1" fillId="2" borderId="10" xfId="0" applyNumberFormat="1" applyFont="1" applyFill="1" applyBorder="1" applyAlignment="1">
      <alignment horizontal="justify" vertical="center" wrapText="1"/>
    </xf>
    <xf numFmtId="3" fontId="1" fillId="2" borderId="33" xfId="0" applyNumberFormat="1" applyFont="1" applyFill="1" applyBorder="1" applyAlignment="1">
      <alignment vertical="center" wrapText="1"/>
    </xf>
    <xf numFmtId="0" fontId="1" fillId="0" borderId="0" xfId="0" applyFont="1" applyFill="1" applyAlignment="1">
      <alignment horizontal="left" vertical="center" wrapText="1"/>
    </xf>
    <xf numFmtId="2" fontId="1" fillId="2" borderId="1" xfId="0" applyNumberFormat="1" applyFont="1" applyFill="1" applyBorder="1" applyAlignment="1">
      <alignment horizontal="left" vertical="center" wrapText="1" indent="1"/>
    </xf>
    <xf numFmtId="170" fontId="13" fillId="6" borderId="12" xfId="0" applyNumberFormat="1" applyFont="1" applyFill="1" applyBorder="1" applyAlignment="1">
      <alignment vertical="center"/>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11" borderId="12" xfId="0" applyFont="1" applyFill="1" applyBorder="1" applyAlignment="1">
      <alignment vertical="center"/>
    </xf>
    <xf numFmtId="1" fontId="1" fillId="2" borderId="8" xfId="0" applyNumberFormat="1" applyFont="1" applyFill="1" applyBorder="1" applyAlignment="1">
      <alignment horizontal="center" vertical="center" wrapText="1"/>
    </xf>
    <xf numFmtId="9" fontId="1" fillId="2" borderId="8" xfId="5" applyFont="1" applyFill="1" applyBorder="1" applyAlignment="1">
      <alignment horizontal="center" vertical="center" wrapText="1"/>
    </xf>
    <xf numFmtId="9" fontId="12" fillId="2" borderId="8" xfId="5" applyFont="1" applyFill="1" applyBorder="1" applyAlignment="1">
      <alignment horizontal="center" vertical="center" wrapText="1"/>
    </xf>
    <xf numFmtId="9" fontId="1" fillId="0" borderId="8" xfId="5" applyFont="1" applyFill="1" applyBorder="1" applyAlignment="1">
      <alignment horizontal="center" vertical="center" wrapText="1"/>
    </xf>
    <xf numFmtId="10" fontId="1" fillId="0" borderId="8" xfId="5" applyNumberFormat="1" applyFont="1" applyFill="1" applyBorder="1" applyAlignment="1">
      <alignment horizontal="center" vertical="center" wrapText="1"/>
    </xf>
    <xf numFmtId="169" fontId="1" fillId="2" borderId="8"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1" fillId="0" borderId="36" xfId="0" applyFont="1" applyBorder="1"/>
    <xf numFmtId="0" fontId="1" fillId="0" borderId="0" xfId="0" applyFont="1" applyBorder="1" applyAlignment="1">
      <alignment horizontal="justify" vertical="center"/>
    </xf>
    <xf numFmtId="0" fontId="1"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justify" vertical="center"/>
    </xf>
    <xf numFmtId="1" fontId="1" fillId="2" borderId="0" xfId="0" applyNumberFormat="1" applyFont="1" applyFill="1" applyBorder="1" applyAlignment="1">
      <alignment horizontal="center" vertical="center"/>
    </xf>
    <xf numFmtId="0" fontId="12" fillId="0" borderId="0" xfId="0" applyFont="1" applyBorder="1"/>
    <xf numFmtId="4" fontId="1" fillId="0" borderId="0" xfId="0" applyNumberFormat="1" applyFont="1" applyFill="1" applyBorder="1" applyAlignment="1">
      <alignment horizontal="center"/>
    </xf>
    <xf numFmtId="0" fontId="1" fillId="0" borderId="0" xfId="0" applyFont="1" applyFill="1" applyBorder="1" applyAlignment="1">
      <alignment horizontal="right" vertical="center"/>
    </xf>
    <xf numFmtId="0" fontId="12" fillId="0" borderId="0" xfId="0" applyFont="1" applyFill="1" applyBorder="1" applyAlignment="1">
      <alignment horizontal="right" vertical="center"/>
    </xf>
    <xf numFmtId="169" fontId="1" fillId="0" borderId="0" xfId="0" applyNumberFormat="1" applyFont="1" applyBorder="1" applyAlignment="1">
      <alignment horizontal="center"/>
    </xf>
    <xf numFmtId="169" fontId="12" fillId="0" borderId="0" xfId="0" applyNumberFormat="1" applyFont="1" applyBorder="1" applyAlignment="1">
      <alignment horizontal="center"/>
    </xf>
    <xf numFmtId="0" fontId="1" fillId="0" borderId="47" xfId="0" applyFont="1" applyBorder="1" applyAlignment="1">
      <alignment horizontal="left"/>
    </xf>
    <xf numFmtId="170" fontId="3" fillId="2" borderId="48" xfId="0" applyNumberFormat="1" applyFont="1" applyFill="1" applyBorder="1" applyAlignment="1">
      <alignment horizontal="justify" vertical="center"/>
    </xf>
    <xf numFmtId="0" fontId="3" fillId="2" borderId="40" xfId="0" applyFont="1" applyFill="1" applyBorder="1" applyAlignment="1">
      <alignment horizontal="justify" vertical="center"/>
    </xf>
    <xf numFmtId="0" fontId="3" fillId="2" borderId="39" xfId="0" applyFont="1" applyFill="1" applyBorder="1" applyAlignment="1">
      <alignment horizontal="justify" vertical="center"/>
    </xf>
    <xf numFmtId="0" fontId="3" fillId="2" borderId="41" xfId="0" applyFont="1" applyFill="1" applyBorder="1" applyAlignment="1">
      <alignment horizontal="justify" vertical="center"/>
    </xf>
    <xf numFmtId="1" fontId="3" fillId="2" borderId="40" xfId="0" applyNumberFormat="1" applyFont="1" applyFill="1" applyBorder="1" applyAlignment="1">
      <alignment horizontal="center" vertical="center"/>
    </xf>
    <xf numFmtId="0" fontId="3" fillId="0" borderId="39" xfId="0" applyFont="1" applyBorder="1"/>
    <xf numFmtId="4" fontId="3" fillId="0" borderId="39" xfId="0" applyNumberFormat="1" applyFont="1" applyFill="1" applyBorder="1" applyAlignment="1">
      <alignment horizontal="center"/>
    </xf>
    <xf numFmtId="0" fontId="3" fillId="0" borderId="39" xfId="0" applyFont="1" applyFill="1" applyBorder="1" applyAlignment="1">
      <alignment horizontal="right" vertical="center"/>
    </xf>
    <xf numFmtId="0" fontId="13" fillId="0" borderId="39" xfId="0" applyFont="1" applyFill="1" applyBorder="1" applyAlignment="1">
      <alignment horizontal="right" vertical="center"/>
    </xf>
    <xf numFmtId="169" fontId="3" fillId="0" borderId="39" xfId="0" applyNumberFormat="1" applyFont="1" applyBorder="1" applyAlignment="1">
      <alignment horizontal="center"/>
    </xf>
    <xf numFmtId="169" fontId="13" fillId="0" borderId="39" xfId="0" applyNumberFormat="1" applyFont="1" applyBorder="1" applyAlignment="1">
      <alignment horizontal="center"/>
    </xf>
    <xf numFmtId="0" fontId="3" fillId="0" borderId="41" xfId="0" applyFont="1" applyBorder="1" applyAlignment="1">
      <alignment horizontal="left"/>
    </xf>
    <xf numFmtId="0" fontId="3" fillId="0" borderId="0" xfId="0" applyFont="1" applyFill="1"/>
    <xf numFmtId="0" fontId="3" fillId="0" borderId="0" xfId="0" applyFont="1"/>
    <xf numFmtId="0" fontId="12" fillId="2" borderId="0" xfId="0" applyFont="1" applyFill="1" applyAlignment="1">
      <alignment horizontal="center" vertical="center"/>
    </xf>
    <xf numFmtId="43" fontId="0" fillId="0" borderId="0" xfId="13" applyFont="1" applyFill="1"/>
    <xf numFmtId="0" fontId="12" fillId="2" borderId="0" xfId="0" applyFont="1" applyFill="1" applyAlignment="1">
      <alignment horizontal="justify" vertical="center"/>
    </xf>
    <xf numFmtId="1" fontId="1" fillId="2" borderId="0" xfId="0" applyNumberFormat="1" applyFont="1" applyFill="1" applyAlignment="1">
      <alignment horizontal="center" vertical="center"/>
    </xf>
    <xf numFmtId="0" fontId="1" fillId="0" borderId="0" xfId="0" applyFont="1" applyFill="1" applyAlignment="1">
      <alignment horizontal="center"/>
    </xf>
    <xf numFmtId="183" fontId="1" fillId="2" borderId="0" xfId="0" applyNumberFormat="1" applyFont="1" applyFill="1" applyAlignment="1">
      <alignment horizontal="justify" vertical="center"/>
    </xf>
    <xf numFmtId="0" fontId="1" fillId="0" borderId="8" xfId="0" applyFont="1" applyFill="1" applyBorder="1" applyAlignment="1">
      <alignment horizontal="justify" vertical="center" wrapText="1"/>
    </xf>
    <xf numFmtId="0" fontId="1" fillId="0" borderId="15" xfId="0" applyFont="1" applyFill="1" applyBorder="1" applyAlignment="1">
      <alignment horizontal="justify" vertical="center" wrapText="1"/>
    </xf>
    <xf numFmtId="1" fontId="1" fillId="0" borderId="2"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1" fillId="0" borderId="1" xfId="0" applyFont="1" applyFill="1" applyBorder="1"/>
    <xf numFmtId="0" fontId="1" fillId="0" borderId="0" xfId="0" applyFont="1" applyAlignment="1">
      <alignment horizontal="center"/>
    </xf>
    <xf numFmtId="0" fontId="13" fillId="0" borderId="0" xfId="0" applyFont="1" applyAlignment="1">
      <alignment horizontal="center" vertical="center"/>
    </xf>
    <xf numFmtId="170" fontId="13" fillId="3" borderId="1" xfId="0" applyNumberFormat="1" applyFont="1" applyFill="1" applyBorder="1" applyAlignment="1">
      <alignment horizontal="center" vertical="center" wrapText="1"/>
    </xf>
    <xf numFmtId="170" fontId="3" fillId="3" borderId="10" xfId="0" applyNumberFormat="1" applyFont="1" applyFill="1" applyBorder="1" applyAlignment="1">
      <alignment horizontal="center" vertical="center" wrapText="1"/>
    </xf>
    <xf numFmtId="0" fontId="3" fillId="3" borderId="8" xfId="0" applyFont="1" applyFill="1" applyBorder="1" applyAlignment="1">
      <alignment horizontal="center" vertical="center" textRotation="180" wrapText="1"/>
    </xf>
    <xf numFmtId="0" fontId="13" fillId="3" borderId="8" xfId="0" applyFont="1" applyFill="1" applyBorder="1" applyAlignment="1">
      <alignment horizontal="center" vertical="center" textRotation="180" wrapText="1"/>
    </xf>
    <xf numFmtId="0" fontId="1" fillId="0" borderId="10" xfId="0" applyFont="1" applyBorder="1" applyAlignment="1">
      <alignment horizontal="center" vertical="center" textRotation="180" wrapText="1"/>
    </xf>
    <xf numFmtId="0" fontId="12" fillId="0" borderId="8" xfId="0" applyFont="1" applyBorder="1" applyAlignment="1">
      <alignment horizontal="center" vertical="center" textRotation="180" wrapText="1"/>
    </xf>
    <xf numFmtId="0" fontId="3" fillId="3" borderId="10" xfId="0" applyFont="1" applyFill="1" applyBorder="1" applyAlignment="1">
      <alignment horizontal="center" vertical="center" textRotation="180" wrapText="1"/>
    </xf>
    <xf numFmtId="169" fontId="3" fillId="3" borderId="10" xfId="0" applyNumberFormat="1" applyFont="1" applyFill="1" applyBorder="1" applyAlignment="1">
      <alignment horizontal="center" vertical="center" wrapText="1"/>
    </xf>
    <xf numFmtId="169" fontId="13" fillId="3" borderId="10" xfId="0" applyNumberFormat="1" applyFont="1" applyFill="1" applyBorder="1" applyAlignment="1">
      <alignment horizontal="center" vertical="center" wrapText="1"/>
    </xf>
    <xf numFmtId="165" fontId="3" fillId="3" borderId="10" xfId="15" applyFont="1" applyFill="1" applyBorder="1" applyAlignment="1">
      <alignment horizontal="center" vertical="center" wrapText="1"/>
    </xf>
    <xf numFmtId="0" fontId="3" fillId="6" borderId="0" xfId="0" applyFont="1" applyFill="1" applyAlignment="1">
      <alignment horizontal="center"/>
    </xf>
    <xf numFmtId="0" fontId="3" fillId="6" borderId="7" xfId="0" applyFont="1" applyFill="1" applyBorder="1" applyAlignment="1">
      <alignment vertical="center"/>
    </xf>
    <xf numFmtId="165" fontId="3" fillId="6" borderId="11" xfId="15" applyFont="1" applyFill="1" applyBorder="1" applyAlignment="1">
      <alignment vertical="center"/>
    </xf>
    <xf numFmtId="0" fontId="3" fillId="6" borderId="3"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xf numFmtId="0" fontId="3" fillId="11" borderId="1" xfId="0" applyFont="1" applyFill="1" applyBorder="1" applyAlignment="1">
      <alignment horizontal="center" vertical="center" wrapText="1"/>
    </xf>
    <xf numFmtId="165" fontId="3" fillId="11" borderId="11" xfId="15" applyFont="1" applyFill="1" applyBorder="1" applyAlignment="1">
      <alignment vertical="center"/>
    </xf>
    <xf numFmtId="0" fontId="3" fillId="11" borderId="3" xfId="0" applyFont="1" applyFill="1" applyBorder="1" applyAlignment="1">
      <alignment vertical="center"/>
    </xf>
    <xf numFmtId="0" fontId="3" fillId="8" borderId="3" xfId="0" applyFont="1" applyFill="1" applyBorder="1" applyAlignment="1">
      <alignment horizontal="center" vertical="center" wrapText="1"/>
    </xf>
    <xf numFmtId="0" fontId="3" fillId="8" borderId="7" xfId="0" applyFont="1" applyFill="1" applyBorder="1" applyAlignment="1">
      <alignment vertical="center"/>
    </xf>
    <xf numFmtId="165" fontId="3" fillId="8" borderId="11" xfId="15" applyFont="1" applyFill="1" applyBorder="1" applyAlignment="1">
      <alignment vertical="center"/>
    </xf>
    <xf numFmtId="0" fontId="3" fillId="8" borderId="3" xfId="0" applyFont="1" applyFill="1" applyBorder="1" applyAlignment="1">
      <alignment vertical="center"/>
    </xf>
    <xf numFmtId="0" fontId="1" fillId="0" borderId="0" xfId="0" applyFont="1" applyFill="1" applyBorder="1" applyAlignment="1">
      <alignment vertical="center" wrapText="1"/>
    </xf>
    <xf numFmtId="0" fontId="20" fillId="0" borderId="1" xfId="0" applyFont="1" applyBorder="1" applyAlignment="1">
      <alignment horizontal="center" vertical="center"/>
    </xf>
    <xf numFmtId="0" fontId="1" fillId="0" borderId="0" xfId="0" applyFont="1" applyFill="1" applyBorder="1" applyAlignment="1">
      <alignment wrapText="1"/>
    </xf>
    <xf numFmtId="4" fontId="12" fillId="0" borderId="1" xfId="0" applyNumberFormat="1" applyFont="1" applyFill="1" applyBorder="1" applyAlignment="1">
      <alignment horizontal="center" vertical="center" wrapText="1"/>
    </xf>
    <xf numFmtId="3" fontId="3" fillId="8" borderId="11" xfId="0" applyNumberFormat="1" applyFont="1" applyFill="1" applyBorder="1" applyAlignment="1">
      <alignment vertical="center"/>
    </xf>
    <xf numFmtId="3" fontId="13" fillId="8" borderId="11" xfId="0" applyNumberFormat="1" applyFont="1" applyFill="1" applyBorder="1" applyAlignment="1">
      <alignment vertical="center"/>
    </xf>
    <xf numFmtId="182" fontId="3" fillId="8" borderId="11" xfId="15" applyNumberFormat="1" applyFont="1" applyFill="1" applyBorder="1" applyAlignment="1">
      <alignment vertical="center"/>
    </xf>
    <xf numFmtId="182" fontId="3" fillId="8" borderId="11" xfId="0" applyNumberFormat="1" applyFont="1" applyFill="1" applyBorder="1" applyAlignment="1">
      <alignment vertical="center"/>
    </xf>
    <xf numFmtId="0" fontId="1" fillId="0" borderId="0" xfId="0" applyFont="1" applyAlignment="1">
      <alignment horizontal="justify" vertical="center" wrapText="1"/>
    </xf>
    <xf numFmtId="1" fontId="12" fillId="0" borderId="1" xfId="0" applyNumberFormat="1" applyFont="1" applyFill="1" applyBorder="1" applyAlignment="1">
      <alignment horizontal="center" vertical="center" wrapText="1"/>
    </xf>
    <xf numFmtId="0" fontId="13" fillId="8" borderId="11" xfId="0" applyFont="1" applyFill="1" applyBorder="1" applyAlignment="1">
      <alignment horizontal="left" vertical="center"/>
    </xf>
    <xf numFmtId="3" fontId="3" fillId="8" borderId="11" xfId="0" applyNumberFormat="1" applyFont="1" applyFill="1" applyBorder="1" applyAlignment="1">
      <alignment horizontal="left" vertical="center"/>
    </xf>
    <xf numFmtId="3" fontId="13" fillId="8" borderId="11" xfId="0" applyNumberFormat="1" applyFont="1" applyFill="1" applyBorder="1" applyAlignment="1">
      <alignment horizontal="left" vertical="center"/>
    </xf>
    <xf numFmtId="165" fontId="3" fillId="8" borderId="11" xfId="15" applyFont="1" applyFill="1" applyBorder="1" applyAlignment="1">
      <alignment horizontal="left" vertical="center"/>
    </xf>
    <xf numFmtId="0" fontId="3" fillId="8" borderId="3" xfId="0" applyFont="1" applyFill="1" applyBorder="1" applyAlignment="1">
      <alignment horizontal="left" vertical="center"/>
    </xf>
    <xf numFmtId="168" fontId="1" fillId="0" borderId="1" xfId="0" applyNumberFormat="1" applyFont="1" applyFill="1" applyBorder="1" applyAlignment="1">
      <alignment vertical="center" wrapText="1"/>
    </xf>
    <xf numFmtId="4"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11" borderId="15" xfId="0" applyFont="1" applyFill="1" applyBorder="1" applyAlignment="1">
      <alignment vertical="center"/>
    </xf>
    <xf numFmtId="0" fontId="3" fillId="11" borderId="0" xfId="0" applyFont="1" applyFill="1" applyBorder="1" applyAlignment="1">
      <alignment vertical="center"/>
    </xf>
    <xf numFmtId="0" fontId="13" fillId="11" borderId="0" xfId="0" applyFont="1" applyFill="1" applyBorder="1" applyAlignment="1">
      <alignment vertical="center"/>
    </xf>
    <xf numFmtId="3" fontId="3" fillId="11" borderId="0" xfId="0" applyNumberFormat="1" applyFont="1" applyFill="1" applyBorder="1" applyAlignment="1">
      <alignment vertical="center"/>
    </xf>
    <xf numFmtId="3" fontId="13" fillId="11" borderId="0" xfId="0" applyNumberFormat="1" applyFont="1" applyFill="1" applyBorder="1" applyAlignment="1">
      <alignment vertical="center"/>
    </xf>
    <xf numFmtId="165" fontId="3" fillId="11" borderId="0" xfId="15" applyFont="1" applyFill="1" applyBorder="1" applyAlignment="1">
      <alignment vertical="center"/>
    </xf>
    <xf numFmtId="0" fontId="3" fillId="11" borderId="14" xfId="0" applyFont="1" applyFill="1" applyBorder="1" applyAlignment="1">
      <alignment vertical="center"/>
    </xf>
    <xf numFmtId="0" fontId="3" fillId="8" borderId="9" xfId="0" applyFont="1" applyFill="1" applyBorder="1" applyAlignment="1">
      <alignment horizontal="center" vertical="center" wrapText="1"/>
    </xf>
    <xf numFmtId="0" fontId="3" fillId="8" borderId="15" xfId="0" applyFont="1" applyFill="1" applyBorder="1" applyAlignment="1">
      <alignment vertical="center"/>
    </xf>
    <xf numFmtId="0" fontId="3" fillId="8" borderId="0" xfId="0" applyFont="1" applyFill="1" applyBorder="1" applyAlignment="1">
      <alignment vertical="center"/>
    </xf>
    <xf numFmtId="0" fontId="13" fillId="8" borderId="0" xfId="0" applyFont="1" applyFill="1" applyBorder="1" applyAlignment="1">
      <alignment vertical="center"/>
    </xf>
    <xf numFmtId="3" fontId="3" fillId="8" borderId="0" xfId="0" applyNumberFormat="1" applyFont="1" applyFill="1" applyBorder="1" applyAlignment="1">
      <alignment vertical="center"/>
    </xf>
    <xf numFmtId="3" fontId="13" fillId="8" borderId="0" xfId="0" applyNumberFormat="1" applyFont="1" applyFill="1" applyBorder="1" applyAlignment="1">
      <alignment vertical="center"/>
    </xf>
    <xf numFmtId="165" fontId="3" fillId="8" borderId="0" xfId="15" applyFont="1" applyFill="1" applyBorder="1" applyAlignment="1">
      <alignment vertical="center"/>
    </xf>
    <xf numFmtId="0" fontId="3" fillId="8" borderId="14" xfId="0" applyFont="1" applyFill="1" applyBorder="1" applyAlignment="1">
      <alignment vertical="center"/>
    </xf>
    <xf numFmtId="3" fontId="12" fillId="0" borderId="1" xfId="0" applyNumberFormat="1" applyFont="1" applyFill="1" applyBorder="1" applyAlignment="1">
      <alignment horizontal="center" vertical="center"/>
    </xf>
    <xf numFmtId="0" fontId="1" fillId="0" borderId="1" xfId="0" applyFont="1" applyBorder="1" applyAlignment="1">
      <alignment horizontal="justify" vertical="center" wrapText="1" readingOrder="2"/>
    </xf>
    <xf numFmtId="3" fontId="14" fillId="0" borderId="1" xfId="0" applyNumberFormat="1" applyFont="1" applyFill="1" applyBorder="1" applyAlignment="1">
      <alignment horizontal="center" vertical="center"/>
    </xf>
    <xf numFmtId="0" fontId="1" fillId="0" borderId="13" xfId="0" applyFont="1" applyBorder="1"/>
    <xf numFmtId="0" fontId="8" fillId="0" borderId="0" xfId="0" applyFont="1" applyAlignment="1">
      <alignment horizontal="justify" vertical="center" wrapText="1" readingOrder="2"/>
    </xf>
    <xf numFmtId="0" fontId="8" fillId="0" borderId="1" xfId="0" applyFont="1" applyBorder="1" applyAlignment="1">
      <alignment horizontal="justify" vertical="center" wrapText="1" readingOrder="2"/>
    </xf>
    <xf numFmtId="0" fontId="1" fillId="0" borderId="1" xfId="0" applyFont="1" applyFill="1" applyBorder="1" applyAlignment="1">
      <alignment horizontal="center" vertical="top" wrapText="1"/>
    </xf>
    <xf numFmtId="0" fontId="1" fillId="0" borderId="13" xfId="0" applyFont="1" applyBorder="1" applyAlignment="1">
      <alignment vertical="center" wrapText="1"/>
    </xf>
    <xf numFmtId="0" fontId="1" fillId="0" borderId="0" xfId="0" applyFont="1" applyAlignment="1">
      <alignment horizontal="justify" vertical="center" wrapText="1" readingOrder="2"/>
    </xf>
    <xf numFmtId="0" fontId="1" fillId="0" borderId="1" xfId="0" applyFont="1" applyBorder="1" applyAlignment="1">
      <alignment horizontal="justify" wrapText="1"/>
    </xf>
    <xf numFmtId="3" fontId="14" fillId="0" borderId="10" xfId="0" applyNumberFormat="1" applyFont="1" applyFill="1" applyBorder="1" applyAlignment="1">
      <alignment horizontal="center" vertical="center"/>
    </xf>
    <xf numFmtId="170" fontId="1" fillId="0" borderId="1" xfId="0" applyNumberFormat="1" applyFont="1" applyFill="1" applyBorder="1" applyAlignment="1">
      <alignment vertical="center" wrapText="1"/>
    </xf>
    <xf numFmtId="165" fontId="1" fillId="0" borderId="1" xfId="15" applyFont="1" applyFill="1" applyBorder="1" applyAlignment="1">
      <alignment vertical="center" wrapText="1"/>
    </xf>
    <xf numFmtId="165" fontId="1" fillId="0" borderId="1" xfId="15" applyFont="1" applyFill="1" applyBorder="1" applyAlignment="1">
      <alignment horizontal="center" vertical="center" wrapText="1"/>
    </xf>
    <xf numFmtId="0" fontId="13" fillId="11" borderId="11" xfId="0" applyFont="1" applyFill="1" applyBorder="1" applyAlignment="1">
      <alignment horizontal="left" vertical="center" wrapText="1"/>
    </xf>
    <xf numFmtId="3" fontId="3" fillId="11" borderId="11" xfId="0" applyNumberFormat="1" applyFont="1" applyFill="1" applyBorder="1" applyAlignment="1">
      <alignment horizontal="left" vertical="center" wrapText="1"/>
    </xf>
    <xf numFmtId="3" fontId="13" fillId="11" borderId="11" xfId="0" applyNumberFormat="1" applyFont="1" applyFill="1" applyBorder="1" applyAlignment="1">
      <alignment horizontal="left" vertical="center" wrapText="1"/>
    </xf>
    <xf numFmtId="165" fontId="3" fillId="11" borderId="11" xfId="15" applyFont="1" applyFill="1" applyBorder="1" applyAlignment="1">
      <alignment horizontal="left" vertical="center" wrapText="1"/>
    </xf>
    <xf numFmtId="0" fontId="3" fillId="11" borderId="3"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7"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13" fillId="8" borderId="11" xfId="0" applyFont="1" applyFill="1" applyBorder="1" applyAlignment="1">
      <alignment horizontal="left" vertical="center" wrapText="1"/>
    </xf>
    <xf numFmtId="3" fontId="3" fillId="8" borderId="11" xfId="0" applyNumberFormat="1" applyFont="1" applyFill="1" applyBorder="1" applyAlignment="1">
      <alignment horizontal="left" vertical="center" wrapText="1"/>
    </xf>
    <xf numFmtId="3" fontId="13" fillId="8" borderId="11" xfId="0" applyNumberFormat="1" applyFont="1" applyFill="1" applyBorder="1" applyAlignment="1">
      <alignment horizontal="left" vertical="center" wrapText="1"/>
    </xf>
    <xf numFmtId="165" fontId="3" fillId="8" borderId="11" xfId="15" applyFont="1" applyFill="1" applyBorder="1" applyAlignment="1">
      <alignment horizontal="left" vertical="center" wrapText="1"/>
    </xf>
    <xf numFmtId="0" fontId="3" fillId="8" borderId="3" xfId="0" applyFont="1" applyFill="1" applyBorder="1" applyAlignment="1">
      <alignment horizontal="left" vertical="center" wrapText="1"/>
    </xf>
    <xf numFmtId="0" fontId="20" fillId="0" borderId="13" xfId="0" applyFont="1" applyFill="1" applyBorder="1" applyAlignment="1">
      <alignment horizontal="center" vertical="center"/>
    </xf>
    <xf numFmtId="0" fontId="1" fillId="11" borderId="10" xfId="0" applyFont="1" applyFill="1" applyBorder="1" applyAlignment="1">
      <alignment horizontal="center" vertical="center" wrapText="1"/>
    </xf>
    <xf numFmtId="0" fontId="3" fillId="11" borderId="4" xfId="0" applyFont="1" applyFill="1" applyBorder="1" applyAlignment="1">
      <alignment horizontal="left" vertical="center"/>
    </xf>
    <xf numFmtId="0" fontId="13" fillId="11" borderId="12" xfId="0" applyFont="1" applyFill="1" applyBorder="1" applyAlignment="1">
      <alignment horizontal="left" vertical="center"/>
    </xf>
    <xf numFmtId="3" fontId="3" fillId="11" borderId="12" xfId="0" applyNumberFormat="1" applyFont="1" applyFill="1" applyBorder="1" applyAlignment="1">
      <alignment horizontal="left" vertical="center"/>
    </xf>
    <xf numFmtId="3" fontId="13" fillId="11" borderId="12" xfId="0" applyNumberFormat="1" applyFont="1" applyFill="1" applyBorder="1" applyAlignment="1">
      <alignment horizontal="left" vertical="center"/>
    </xf>
    <xf numFmtId="165" fontId="3" fillId="11" borderId="12" xfId="15" applyFont="1" applyFill="1" applyBorder="1" applyAlignment="1">
      <alignment horizontal="left" vertical="center"/>
    </xf>
    <xf numFmtId="0" fontId="3" fillId="11" borderId="5" xfId="0" applyFont="1" applyFill="1" applyBorder="1" applyAlignment="1">
      <alignment horizontal="left" vertical="center"/>
    </xf>
    <xf numFmtId="0" fontId="1" fillId="8" borderId="9" xfId="0" applyFont="1" applyFill="1" applyBorder="1" applyAlignment="1">
      <alignment horizontal="center" vertical="center" wrapText="1"/>
    </xf>
    <xf numFmtId="0" fontId="3" fillId="8" borderId="8" xfId="0" applyFont="1" applyFill="1" applyBorder="1" applyAlignment="1">
      <alignment horizontal="left" vertical="center"/>
    </xf>
    <xf numFmtId="0" fontId="3" fillId="8" borderId="2" xfId="0" applyFont="1" applyFill="1" applyBorder="1" applyAlignment="1">
      <alignment horizontal="left" vertical="center"/>
    </xf>
    <xf numFmtId="0" fontId="13" fillId="8" borderId="2" xfId="0" applyFont="1" applyFill="1" applyBorder="1" applyAlignment="1">
      <alignment horizontal="left" vertical="center"/>
    </xf>
    <xf numFmtId="3" fontId="3" fillId="8" borderId="2" xfId="0" applyNumberFormat="1" applyFont="1" applyFill="1" applyBorder="1" applyAlignment="1">
      <alignment horizontal="left" vertical="center"/>
    </xf>
    <xf numFmtId="3" fontId="13" fillId="8" borderId="2" xfId="0" applyNumberFormat="1" applyFont="1" applyFill="1" applyBorder="1" applyAlignment="1">
      <alignment horizontal="left" vertical="center"/>
    </xf>
    <xf numFmtId="165" fontId="3" fillId="8" borderId="2" xfId="15" applyFont="1" applyFill="1" applyBorder="1" applyAlignment="1">
      <alignment horizontal="left" vertical="center"/>
    </xf>
    <xf numFmtId="0" fontId="3" fillId="8" borderId="9" xfId="0" applyFont="1" applyFill="1" applyBorder="1" applyAlignment="1">
      <alignment horizontal="left" vertical="center"/>
    </xf>
    <xf numFmtId="3" fontId="12" fillId="0" borderId="1" xfId="0" applyNumberFormat="1" applyFont="1" applyBorder="1" applyAlignment="1">
      <alignment horizontal="center"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1" xfId="0" applyFont="1" applyBorder="1" applyAlignment="1">
      <alignment vertical="center" wrapText="1"/>
    </xf>
    <xf numFmtId="182" fontId="21" fillId="0" borderId="1" xfId="0" applyNumberFormat="1" applyFont="1" applyFill="1" applyBorder="1" applyAlignment="1">
      <alignment horizontal="right" vertical="center"/>
    </xf>
    <xf numFmtId="9" fontId="1" fillId="0" borderId="1" xfId="3" applyFont="1" applyFill="1" applyBorder="1" applyAlignment="1">
      <alignment horizontal="center" vertical="center" wrapText="1"/>
    </xf>
    <xf numFmtId="9" fontId="12" fillId="0" borderId="1" xfId="3"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1" fillId="11" borderId="1" xfId="0" applyFont="1" applyFill="1" applyBorder="1" applyAlignment="1">
      <alignment horizontal="left" vertical="center" wrapText="1"/>
    </xf>
    <xf numFmtId="0" fontId="1" fillId="11" borderId="7" xfId="0" applyFont="1" applyFill="1" applyBorder="1" applyAlignment="1">
      <alignment vertical="center"/>
    </xf>
    <xf numFmtId="0" fontId="1" fillId="11" borderId="11" xfId="0" applyFont="1" applyFill="1" applyBorder="1" applyAlignment="1">
      <alignment vertical="center"/>
    </xf>
    <xf numFmtId="0" fontId="12" fillId="11" borderId="11" xfId="0" applyFont="1" applyFill="1" applyBorder="1" applyAlignment="1">
      <alignment vertical="center"/>
    </xf>
    <xf numFmtId="3" fontId="1" fillId="11" borderId="11" xfId="0" applyNumberFormat="1" applyFont="1" applyFill="1" applyBorder="1" applyAlignment="1">
      <alignment vertical="center"/>
    </xf>
    <xf numFmtId="3" fontId="12" fillId="11" borderId="11" xfId="0" applyNumberFormat="1" applyFont="1" applyFill="1" applyBorder="1" applyAlignment="1">
      <alignment vertical="center"/>
    </xf>
    <xf numFmtId="165" fontId="1" fillId="11" borderId="11" xfId="15" applyFont="1" applyFill="1" applyBorder="1" applyAlignment="1">
      <alignment vertical="center"/>
    </xf>
    <xf numFmtId="170" fontId="3" fillId="0" borderId="48" xfId="0" applyNumberFormat="1" applyFont="1" applyBorder="1" applyAlignment="1">
      <alignment vertical="center"/>
    </xf>
    <xf numFmtId="0" fontId="1" fillId="0" borderId="40" xfId="0" applyFont="1" applyBorder="1"/>
    <xf numFmtId="0" fontId="1" fillId="0" borderId="41" xfId="0" applyFont="1" applyBorder="1"/>
    <xf numFmtId="0" fontId="12" fillId="0" borderId="39" xfId="0" applyFont="1" applyBorder="1"/>
    <xf numFmtId="170" fontId="1" fillId="0" borderId="0" xfId="0" applyNumberFormat="1" applyFont="1"/>
    <xf numFmtId="182" fontId="12" fillId="0" borderId="0" xfId="0" applyNumberFormat="1" applyFont="1"/>
    <xf numFmtId="170" fontId="12" fillId="0" borderId="0" xfId="13" applyNumberFormat="1" applyFont="1" applyFill="1" applyBorder="1" applyAlignment="1">
      <alignment horizontal="justify" vertical="center"/>
    </xf>
    <xf numFmtId="165" fontId="1" fillId="0" borderId="0" xfId="15" applyFont="1" applyFill="1"/>
    <xf numFmtId="165" fontId="1" fillId="0" borderId="0" xfId="15" applyFont="1"/>
    <xf numFmtId="0" fontId="3" fillId="0" borderId="12" xfId="0" applyFont="1" applyBorder="1" applyAlignment="1">
      <alignment wrapText="1"/>
    </xf>
    <xf numFmtId="0" fontId="1" fillId="0" borderId="12" xfId="0" applyFont="1" applyBorder="1"/>
    <xf numFmtId="0" fontId="1" fillId="0" borderId="0" xfId="0" applyFont="1" applyAlignment="1"/>
    <xf numFmtId="170" fontId="12" fillId="0" borderId="0" xfId="0" applyNumberFormat="1" applyFont="1"/>
    <xf numFmtId="0" fontId="13" fillId="3" borderId="1" xfId="0" applyFont="1" applyFill="1" applyBorder="1" applyAlignment="1">
      <alignment horizontal="center" vertical="center"/>
    </xf>
    <xf numFmtId="1" fontId="3" fillId="6" borderId="4" xfId="0" applyNumberFormat="1" applyFont="1" applyFill="1" applyBorder="1" applyAlignment="1">
      <alignment horizontal="left" vertical="center" wrapText="1"/>
    </xf>
    <xf numFmtId="1" fontId="3" fillId="6" borderId="12" xfId="0" applyNumberFormat="1" applyFont="1" applyFill="1" applyBorder="1" applyAlignment="1">
      <alignment vertical="center"/>
    </xf>
    <xf numFmtId="0" fontId="3" fillId="6" borderId="12" xfId="0" applyFont="1" applyFill="1" applyBorder="1" applyAlignment="1">
      <alignment horizontal="center" vertical="center"/>
    </xf>
    <xf numFmtId="0" fontId="13" fillId="6" borderId="12" xfId="0" applyFont="1" applyFill="1" applyBorder="1" applyAlignment="1">
      <alignment horizontal="center" vertical="center"/>
    </xf>
    <xf numFmtId="3" fontId="3" fillId="6" borderId="12" xfId="0" applyNumberFormat="1" applyFont="1" applyFill="1" applyBorder="1" applyAlignment="1">
      <alignment horizontal="center" vertical="center"/>
    </xf>
    <xf numFmtId="0" fontId="1" fillId="6" borderId="12" xfId="0" applyFont="1" applyFill="1" applyBorder="1" applyAlignment="1">
      <alignment vertical="center"/>
    </xf>
    <xf numFmtId="0" fontId="13" fillId="11" borderId="11" xfId="0" applyFont="1" applyFill="1" applyBorder="1" applyAlignment="1">
      <alignment horizontal="center" vertical="center"/>
    </xf>
    <xf numFmtId="3" fontId="3" fillId="11" borderId="11" xfId="0" applyNumberFormat="1" applyFont="1" applyFill="1" applyBorder="1" applyAlignment="1">
      <alignment horizontal="center" vertical="center"/>
    </xf>
    <xf numFmtId="0" fontId="13" fillId="8" borderId="11" xfId="0" applyFont="1" applyFill="1" applyBorder="1" applyAlignment="1">
      <alignment horizontal="center" vertical="center"/>
    </xf>
    <xf numFmtId="3" fontId="3" fillId="8" borderId="11" xfId="0" applyNumberFormat="1" applyFont="1" applyFill="1" applyBorder="1" applyAlignment="1">
      <alignment horizontal="center" vertical="center"/>
    </xf>
    <xf numFmtId="0" fontId="1" fillId="8" borderId="3" xfId="0" applyFont="1" applyFill="1" applyBorder="1" applyAlignment="1">
      <alignment vertical="center"/>
    </xf>
    <xf numFmtId="170" fontId="3" fillId="8" borderId="11" xfId="0" applyNumberFormat="1" applyFont="1" applyFill="1" applyBorder="1" applyAlignment="1">
      <alignment horizontal="center" vertical="center"/>
    </xf>
    <xf numFmtId="170" fontId="13" fillId="8" borderId="11" xfId="0" applyNumberFormat="1" applyFont="1" applyFill="1" applyBorder="1" applyAlignment="1">
      <alignment horizontal="center" vertical="center"/>
    </xf>
    <xf numFmtId="3" fontId="1" fillId="0" borderId="1" xfId="0" applyNumberFormat="1" applyFont="1" applyFill="1" applyBorder="1" applyAlignment="1">
      <alignment vertical="center" textRotation="90" wrapText="1"/>
    </xf>
    <xf numFmtId="3" fontId="12" fillId="0" borderId="1" xfId="0" applyNumberFormat="1" applyFont="1" applyFill="1" applyBorder="1" applyAlignment="1">
      <alignment vertical="center" textRotation="90" wrapText="1"/>
    </xf>
    <xf numFmtId="3" fontId="1" fillId="0" borderId="6" xfId="0" applyNumberFormat="1" applyFont="1" applyFill="1" applyBorder="1" applyAlignment="1">
      <alignment vertical="center" textRotation="90" wrapText="1"/>
    </xf>
    <xf numFmtId="3" fontId="7" fillId="0" borderId="6" xfId="0" applyNumberFormat="1" applyFont="1" applyFill="1" applyBorder="1" applyAlignment="1">
      <alignment vertical="center" textRotation="90" wrapText="1"/>
    </xf>
    <xf numFmtId="3" fontId="12" fillId="0" borderId="6" xfId="0" applyNumberFormat="1" applyFont="1" applyFill="1" applyBorder="1" applyAlignment="1">
      <alignment vertical="center" textRotation="90" wrapText="1"/>
    </xf>
    <xf numFmtId="3" fontId="1" fillId="0" borderId="6" xfId="0" applyNumberFormat="1" applyFont="1" applyFill="1" applyBorder="1" applyAlignment="1">
      <alignment vertical="center" wrapText="1"/>
    </xf>
    <xf numFmtId="9" fontId="1" fillId="0" borderId="6" xfId="5" applyFont="1" applyFill="1" applyBorder="1" applyAlignment="1">
      <alignment vertical="center" wrapText="1"/>
    </xf>
    <xf numFmtId="3" fontId="1" fillId="0" borderId="1" xfId="0" applyNumberFormat="1" applyFont="1" applyFill="1" applyBorder="1" applyAlignment="1">
      <alignment vertical="center" wrapText="1"/>
    </xf>
    <xf numFmtId="169" fontId="7" fillId="0" borderId="6" xfId="0" applyNumberFormat="1" applyFont="1" applyFill="1" applyBorder="1" applyAlignment="1">
      <alignment vertical="center" wrapText="1"/>
    </xf>
    <xf numFmtId="0" fontId="3" fillId="8" borderId="1" xfId="0" applyFont="1" applyFill="1" applyBorder="1" applyAlignment="1">
      <alignment vertical="center"/>
    </xf>
    <xf numFmtId="0" fontId="13" fillId="8" borderId="1" xfId="0" applyFont="1" applyFill="1" applyBorder="1" applyAlignment="1">
      <alignment vertical="center"/>
    </xf>
    <xf numFmtId="0" fontId="3" fillId="8" borderId="1" xfId="0" applyFont="1" applyFill="1" applyBorder="1" applyAlignment="1">
      <alignment horizontal="justify" vertical="center"/>
    </xf>
    <xf numFmtId="0" fontId="3" fillId="8" borderId="1" xfId="0" applyFont="1" applyFill="1" applyBorder="1" applyAlignment="1">
      <alignment horizontal="center" vertical="center"/>
    </xf>
    <xf numFmtId="0" fontId="13" fillId="8" borderId="1" xfId="0" applyFont="1" applyFill="1" applyBorder="1" applyAlignment="1">
      <alignment horizontal="center" vertical="center"/>
    </xf>
    <xf numFmtId="3" fontId="3" fillId="8" borderId="1" xfId="0" applyNumberFormat="1" applyFont="1" applyFill="1" applyBorder="1" applyAlignment="1">
      <alignment horizontal="center" vertical="center"/>
    </xf>
    <xf numFmtId="0" fontId="1" fillId="8" borderId="1" xfId="0" applyFont="1" applyFill="1" applyBorder="1" applyAlignment="1">
      <alignment vertical="center"/>
    </xf>
    <xf numFmtId="1" fontId="3" fillId="11" borderId="0" xfId="0" applyNumberFormat="1" applyFont="1" applyFill="1" applyBorder="1" applyAlignment="1">
      <alignment horizontal="justify" vertical="center" wrapText="1"/>
    </xf>
    <xf numFmtId="1" fontId="3" fillId="11" borderId="0" xfId="0" applyNumberFormat="1" applyFont="1" applyFill="1" applyBorder="1" applyAlignment="1">
      <alignment vertical="center"/>
    </xf>
    <xf numFmtId="0" fontId="3" fillId="11" borderId="1" xfId="0" applyFont="1" applyFill="1" applyBorder="1" applyAlignment="1">
      <alignment vertical="center"/>
    </xf>
    <xf numFmtId="0" fontId="13" fillId="11" borderId="1" xfId="0" applyFont="1" applyFill="1" applyBorder="1" applyAlignment="1">
      <alignment vertical="center"/>
    </xf>
    <xf numFmtId="0" fontId="3" fillId="11" borderId="1" xfId="0" applyFont="1" applyFill="1" applyBorder="1" applyAlignment="1">
      <alignment horizontal="justify" vertical="center"/>
    </xf>
    <xf numFmtId="0" fontId="3" fillId="11" borderId="1" xfId="0" applyFont="1" applyFill="1" applyBorder="1" applyAlignment="1">
      <alignment horizontal="center" vertical="center"/>
    </xf>
    <xf numFmtId="0" fontId="13" fillId="11" borderId="1" xfId="0" applyFont="1" applyFill="1" applyBorder="1" applyAlignment="1">
      <alignment horizontal="center" vertical="center"/>
    </xf>
    <xf numFmtId="3" fontId="3" fillId="11" borderId="1" xfId="0" applyNumberFormat="1" applyFont="1" applyFill="1" applyBorder="1" applyAlignment="1">
      <alignment horizontal="center" vertical="center"/>
    </xf>
    <xf numFmtId="0" fontId="1" fillId="11" borderId="1" xfId="0" applyFont="1" applyFill="1" applyBorder="1" applyAlignment="1">
      <alignment vertical="center"/>
    </xf>
    <xf numFmtId="1" fontId="3" fillId="8" borderId="0" xfId="0" applyNumberFormat="1" applyFont="1" applyFill="1" applyBorder="1" applyAlignment="1">
      <alignment horizontal="justify" vertical="center" wrapText="1"/>
    </xf>
    <xf numFmtId="0" fontId="0" fillId="0" borderId="0" xfId="0" applyFont="1" applyFill="1"/>
    <xf numFmtId="0" fontId="1" fillId="2" borderId="1" xfId="0" applyFont="1" applyFill="1" applyBorder="1" applyAlignment="1">
      <alignment horizontal="justify" vertical="center"/>
    </xf>
    <xf numFmtId="0" fontId="1" fillId="2" borderId="1" xfId="0" applyFont="1" applyFill="1" applyBorder="1"/>
    <xf numFmtId="0" fontId="1" fillId="0" borderId="1" xfId="0" applyFont="1" applyBorder="1"/>
    <xf numFmtId="0" fontId="12" fillId="0" borderId="1" xfId="0" applyFont="1" applyBorder="1"/>
    <xf numFmtId="0" fontId="3" fillId="0" borderId="1" xfId="0" applyFont="1" applyBorder="1" applyAlignment="1">
      <alignment vertical="center"/>
    </xf>
    <xf numFmtId="0" fontId="3" fillId="0" borderId="0" xfId="0" applyFont="1" applyFill="1" applyAlignment="1">
      <alignment vertical="center"/>
    </xf>
    <xf numFmtId="0" fontId="12" fillId="2" borderId="0" xfId="0" applyFont="1" applyFill="1" applyAlignment="1">
      <alignment horizontal="center"/>
    </xf>
    <xf numFmtId="170" fontId="1" fillId="2" borderId="0" xfId="0" applyNumberFormat="1" applyFont="1" applyFill="1" applyAlignment="1">
      <alignment horizontal="center" vertical="center"/>
    </xf>
    <xf numFmtId="3" fontId="1" fillId="0" borderId="0" xfId="0" applyNumberFormat="1" applyFont="1" applyFill="1" applyAlignment="1"/>
    <xf numFmtId="0" fontId="1" fillId="0" borderId="0" xfId="0" applyFont="1" applyFill="1" applyAlignment="1"/>
    <xf numFmtId="0" fontId="1" fillId="2" borderId="0" xfId="0" applyFont="1" applyFill="1" applyBorder="1"/>
    <xf numFmtId="0" fontId="1" fillId="2" borderId="0" xfId="0" applyFont="1" applyFill="1" applyBorder="1" applyAlignment="1">
      <alignment horizontal="center"/>
    </xf>
    <xf numFmtId="0" fontId="12"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vertical="center" wrapText="1"/>
    </xf>
    <xf numFmtId="168" fontId="0" fillId="0" borderId="0" xfId="1" applyNumberFormat="1" applyFont="1" applyFill="1" applyBorder="1" applyAlignment="1">
      <alignment vertical="center"/>
    </xf>
    <xf numFmtId="43" fontId="7" fillId="2" borderId="0" xfId="13" applyFont="1" applyFill="1" applyBorder="1" applyAlignment="1">
      <alignment horizontal="justify" vertical="center"/>
    </xf>
    <xf numFmtId="43" fontId="12" fillId="2" borderId="0" xfId="13" applyFont="1" applyFill="1" applyBorder="1" applyAlignment="1">
      <alignment horizontal="justify" vertical="center"/>
    </xf>
    <xf numFmtId="43" fontId="14" fillId="2" borderId="0" xfId="1" applyNumberFormat="1" applyFont="1" applyFill="1" applyBorder="1" applyAlignment="1">
      <alignment vertical="center"/>
    </xf>
    <xf numFmtId="170" fontId="1" fillId="2" borderId="0" xfId="0" applyNumberFormat="1" applyFont="1" applyFill="1" applyBorder="1" applyAlignment="1">
      <alignment horizontal="justify" vertical="center"/>
    </xf>
    <xf numFmtId="170" fontId="12" fillId="2" borderId="0" xfId="0" applyNumberFormat="1" applyFont="1" applyFill="1" applyBorder="1" applyAlignment="1">
      <alignment horizontal="justify" vertical="center"/>
    </xf>
    <xf numFmtId="184" fontId="12" fillId="0" borderId="1" xfId="0" applyNumberFormat="1" applyFont="1" applyFill="1" applyBorder="1" applyAlignment="1">
      <alignment vertical="center" wrapText="1"/>
    </xf>
    <xf numFmtId="169" fontId="12" fillId="0" borderId="6" xfId="0" applyNumberFormat="1" applyFont="1" applyFill="1" applyBorder="1" applyAlignment="1">
      <alignment vertical="center" wrapText="1"/>
    </xf>
    <xf numFmtId="1" fontId="3" fillId="8" borderId="12" xfId="0" applyNumberFormat="1" applyFont="1" applyFill="1" applyBorder="1" applyAlignment="1">
      <alignment horizontal="justify" vertical="center" wrapText="1"/>
    </xf>
    <xf numFmtId="0" fontId="1" fillId="2" borderId="8" xfId="0" applyFont="1" applyFill="1" applyBorder="1"/>
    <xf numFmtId="0" fontId="1" fillId="2" borderId="2" xfId="0" applyFont="1" applyFill="1" applyBorder="1"/>
    <xf numFmtId="0" fontId="1" fillId="2" borderId="9" xfId="0" applyFont="1" applyFill="1" applyBorder="1"/>
    <xf numFmtId="3" fontId="3" fillId="3" borderId="6" xfId="0" applyNumberFormat="1" applyFont="1" applyFill="1" applyBorder="1" applyAlignment="1">
      <alignment vertical="center" wrapText="1"/>
    </xf>
    <xf numFmtId="0" fontId="3" fillId="3" borderId="6" xfId="0" applyFont="1" applyFill="1" applyBorder="1" applyAlignment="1">
      <alignment vertical="center" wrapText="1"/>
    </xf>
    <xf numFmtId="3" fontId="3" fillId="3" borderId="13" xfId="0" applyNumberFormat="1" applyFont="1" applyFill="1" applyBorder="1" applyAlignment="1">
      <alignment vertical="center" wrapText="1"/>
    </xf>
    <xf numFmtId="0" fontId="3" fillId="3" borderId="13" xfId="0" applyFont="1" applyFill="1" applyBorder="1" applyAlignment="1">
      <alignment vertical="center" wrapText="1"/>
    </xf>
    <xf numFmtId="49" fontId="3" fillId="3" borderId="15" xfId="0" applyNumberFormat="1"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2" borderId="48"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1" fillId="0" borderId="40" xfId="0" applyNumberFormat="1" applyFont="1" applyFill="1" applyBorder="1" applyAlignment="1">
      <alignment horizontal="center" vertical="center"/>
    </xf>
    <xf numFmtId="0" fontId="1" fillId="0" borderId="37" xfId="0" applyFont="1" applyBorder="1"/>
    <xf numFmtId="169" fontId="1" fillId="0" borderId="37" xfId="0" applyNumberFormat="1" applyFont="1" applyBorder="1" applyAlignment="1">
      <alignment horizontal="center"/>
    </xf>
    <xf numFmtId="3" fontId="1" fillId="2" borderId="0" xfId="0" applyNumberFormat="1" applyFont="1" applyFill="1" applyAlignment="1">
      <alignment horizontal="justify" vertical="center"/>
    </xf>
    <xf numFmtId="3" fontId="1" fillId="2" borderId="8" xfId="0" applyNumberFormat="1" applyFont="1" applyFill="1" applyBorder="1" applyAlignment="1">
      <alignment horizontal="center" vertical="center" wrapText="1"/>
    </xf>
    <xf numFmtId="3" fontId="1" fillId="0" borderId="37" xfId="0" applyNumberFormat="1" applyFont="1" applyBorder="1"/>
    <xf numFmtId="0" fontId="25" fillId="0" borderId="0" xfId="0" applyFont="1" applyBorder="1" applyAlignment="1">
      <alignment horizontal="center" vertical="center"/>
    </xf>
    <xf numFmtId="0" fontId="25" fillId="0" borderId="2" xfId="0" applyFont="1" applyBorder="1" applyAlignment="1">
      <alignment horizontal="center" vertical="center"/>
    </xf>
    <xf numFmtId="169" fontId="12" fillId="0" borderId="37" xfId="0" applyNumberFormat="1" applyFont="1" applyBorder="1" applyAlignment="1">
      <alignment horizontal="center"/>
    </xf>
    <xf numFmtId="3" fontId="13" fillId="0" borderId="48" xfId="0" applyNumberFormat="1" applyFont="1" applyFill="1" applyBorder="1" applyAlignment="1">
      <alignment horizontal="center" vertical="center"/>
    </xf>
    <xf numFmtId="3" fontId="12" fillId="2" borderId="0" xfId="0" applyNumberFormat="1" applyFont="1" applyFill="1" applyAlignment="1">
      <alignment horizontal="justify" vertical="center"/>
    </xf>
    <xf numFmtId="0" fontId="1" fillId="0" borderId="37" xfId="0" applyFont="1" applyFill="1" applyBorder="1" applyAlignment="1">
      <alignment horizontal="right" vertical="center"/>
    </xf>
    <xf numFmtId="0" fontId="12" fillId="0" borderId="37" xfId="0" applyFont="1" applyFill="1" applyBorder="1" applyAlignment="1">
      <alignment horizontal="right" vertical="center"/>
    </xf>
    <xf numFmtId="0" fontId="1" fillId="0" borderId="63" xfId="0" applyFont="1" applyBorder="1" applyAlignment="1">
      <alignment horizontal="left"/>
    </xf>
    <xf numFmtId="169" fontId="1" fillId="2" borderId="7" xfId="0" applyNumberFormat="1" applyFont="1" applyFill="1" applyBorder="1" applyAlignment="1">
      <alignment horizontal="center" vertical="center" wrapText="1"/>
    </xf>
    <xf numFmtId="169" fontId="1" fillId="2" borderId="31" xfId="0" applyNumberFormat="1" applyFont="1" applyFill="1" applyBorder="1" applyAlignment="1">
      <alignment horizontal="center" vertical="center" wrapText="1"/>
    </xf>
    <xf numFmtId="169" fontId="12" fillId="2" borderId="31" xfId="0" applyNumberFormat="1" applyFont="1" applyFill="1" applyBorder="1" applyAlignment="1">
      <alignment horizontal="center" vertical="center" wrapText="1"/>
    </xf>
    <xf numFmtId="169" fontId="12" fillId="2" borderId="18"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9" fontId="1" fillId="2" borderId="18" xfId="5" applyFont="1" applyFill="1" applyBorder="1" applyAlignment="1">
      <alignment horizontal="center" vertical="center" wrapText="1"/>
    </xf>
    <xf numFmtId="2" fontId="1" fillId="0" borderId="8" xfId="5" applyNumberFormat="1" applyFont="1" applyFill="1" applyBorder="1" applyAlignment="1">
      <alignment horizontal="center" vertical="center" wrapText="1"/>
    </xf>
    <xf numFmtId="167" fontId="13" fillId="0" borderId="12" xfId="18" applyFont="1" applyBorder="1" applyAlignment="1">
      <alignment horizontal="center" vertical="center"/>
    </xf>
    <xf numFmtId="167" fontId="1" fillId="0" borderId="0" xfId="18" applyFont="1" applyFill="1"/>
    <xf numFmtId="167" fontId="1" fillId="0" borderId="0" xfId="18" applyFont="1"/>
    <xf numFmtId="167" fontId="13" fillId="0" borderId="0" xfId="18" applyFont="1" applyBorder="1" applyAlignment="1">
      <alignment horizontal="center" vertical="center"/>
    </xf>
    <xf numFmtId="167" fontId="13" fillId="0" borderId="2" xfId="18" applyFont="1" applyBorder="1" applyAlignment="1">
      <alignment horizontal="center" vertical="center"/>
    </xf>
    <xf numFmtId="167" fontId="3" fillId="0" borderId="0" xfId="18" applyFont="1" applyFill="1"/>
    <xf numFmtId="167" fontId="3" fillId="0" borderId="0" xfId="18" applyFont="1"/>
    <xf numFmtId="170" fontId="13" fillId="3" borderId="1" xfId="18"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169" fontId="3" fillId="3" borderId="10" xfId="18" applyNumberFormat="1" applyFont="1" applyFill="1" applyBorder="1" applyAlignment="1">
      <alignment horizontal="center" vertical="center" wrapText="1"/>
    </xf>
    <xf numFmtId="169" fontId="13" fillId="3" borderId="10" xfId="18" applyNumberFormat="1" applyFont="1" applyFill="1" applyBorder="1" applyAlignment="1">
      <alignment horizontal="center" vertical="center" wrapText="1"/>
    </xf>
    <xf numFmtId="0" fontId="3" fillId="6" borderId="29" xfId="18" applyNumberFormat="1" applyFont="1" applyFill="1" applyBorder="1" applyAlignment="1">
      <alignment horizontal="center" vertical="center" wrapText="1"/>
    </xf>
    <xf numFmtId="167" fontId="3" fillId="6" borderId="4" xfId="18" applyFont="1" applyFill="1" applyBorder="1" applyAlignment="1">
      <alignment vertical="center"/>
    </xf>
    <xf numFmtId="167" fontId="3" fillId="6" borderId="12" xfId="18" applyFont="1" applyFill="1" applyBorder="1" applyAlignment="1">
      <alignment vertical="center"/>
    </xf>
    <xf numFmtId="167" fontId="13" fillId="6" borderId="12" xfId="18" applyFont="1" applyFill="1" applyBorder="1" applyAlignment="1">
      <alignment vertical="center"/>
    </xf>
    <xf numFmtId="167" fontId="3" fillId="6" borderId="45" xfId="18" applyFont="1" applyFill="1" applyBorder="1" applyAlignment="1">
      <alignment vertical="center"/>
    </xf>
    <xf numFmtId="0" fontId="3" fillId="11" borderId="14" xfId="18" applyNumberFormat="1" applyFont="1" applyFill="1" applyBorder="1" applyAlignment="1">
      <alignment horizontal="center" vertical="center" wrapText="1"/>
    </xf>
    <xf numFmtId="167" fontId="3" fillId="11" borderId="15" xfId="18" applyFont="1" applyFill="1" applyBorder="1" applyAlignment="1">
      <alignment vertical="center"/>
    </xf>
    <xf numFmtId="167" fontId="3" fillId="11" borderId="0" xfId="18" applyFont="1" applyFill="1" applyBorder="1" applyAlignment="1">
      <alignment vertical="center"/>
    </xf>
    <xf numFmtId="167" fontId="13" fillId="11" borderId="0" xfId="18" applyFont="1" applyFill="1" applyBorder="1" applyAlignment="1">
      <alignment vertical="center"/>
    </xf>
    <xf numFmtId="167" fontId="3" fillId="11" borderId="47" xfId="18" applyFont="1" applyFill="1" applyBorder="1" applyAlignment="1">
      <alignment vertical="center"/>
    </xf>
    <xf numFmtId="0" fontId="3" fillId="7" borderId="14" xfId="18" applyNumberFormat="1" applyFont="1" applyFill="1" applyBorder="1" applyAlignment="1">
      <alignment horizontal="center" vertical="center" wrapText="1"/>
    </xf>
    <xf numFmtId="167" fontId="3" fillId="7" borderId="8" xfId="18" applyFont="1" applyFill="1" applyBorder="1" applyAlignment="1">
      <alignment vertical="center"/>
    </xf>
    <xf numFmtId="167" fontId="3" fillId="7" borderId="2" xfId="18" applyFont="1" applyFill="1" applyBorder="1" applyAlignment="1">
      <alignment vertical="center"/>
    </xf>
    <xf numFmtId="167" fontId="13" fillId="7" borderId="2" xfId="18" applyFont="1" applyFill="1" applyBorder="1" applyAlignment="1">
      <alignment vertical="center"/>
    </xf>
    <xf numFmtId="167" fontId="3" fillId="7" borderId="9" xfId="18" applyFont="1" applyFill="1" applyBorder="1" applyAlignment="1">
      <alignment vertical="center"/>
    </xf>
    <xf numFmtId="167" fontId="3" fillId="7" borderId="60" xfId="18" applyFont="1" applyFill="1" applyBorder="1" applyAlignment="1">
      <alignment vertical="center"/>
    </xf>
    <xf numFmtId="3" fontId="1" fillId="2" borderId="5" xfId="18" applyNumberFormat="1" applyFont="1" applyFill="1" applyBorder="1" applyAlignment="1">
      <alignment horizontal="center" vertical="center" wrapText="1"/>
    </xf>
    <xf numFmtId="169" fontId="1" fillId="2" borderId="8" xfId="18" applyNumberFormat="1" applyFont="1" applyFill="1" applyBorder="1" applyAlignment="1">
      <alignment horizontal="center" vertical="center" wrapText="1"/>
    </xf>
    <xf numFmtId="167" fontId="1" fillId="2" borderId="0" xfId="18" applyFont="1" applyFill="1"/>
    <xf numFmtId="3" fontId="1" fillId="2" borderId="14" xfId="18" applyNumberFormat="1" applyFont="1" applyFill="1" applyBorder="1" applyAlignment="1">
      <alignment horizontal="center" vertical="center" wrapText="1"/>
    </xf>
    <xf numFmtId="3" fontId="1" fillId="2" borderId="2" xfId="18" applyNumberFormat="1" applyFont="1" applyFill="1" applyBorder="1" applyAlignment="1">
      <alignment horizontal="center" vertical="center" wrapText="1"/>
    </xf>
    <xf numFmtId="169" fontId="12" fillId="2" borderId="8" xfId="18" applyNumberFormat="1" applyFont="1" applyFill="1" applyBorder="1" applyAlignment="1">
      <alignment horizontal="center" vertical="center" wrapText="1"/>
    </xf>
    <xf numFmtId="0" fontId="28" fillId="2" borderId="13" xfId="0" applyFont="1" applyFill="1" applyBorder="1" applyAlignment="1">
      <alignment vertical="center"/>
    </xf>
    <xf numFmtId="170" fontId="1" fillId="2" borderId="1" xfId="18" applyNumberFormat="1" applyFont="1" applyFill="1" applyBorder="1" applyAlignment="1">
      <alignment horizontal="center" vertical="center"/>
    </xf>
    <xf numFmtId="167" fontId="8" fillId="2" borderId="1" xfId="18" applyFont="1" applyFill="1" applyBorder="1" applyAlignment="1">
      <alignment horizontal="justify" vertical="center" wrapText="1"/>
    </xf>
    <xf numFmtId="3" fontId="1" fillId="2" borderId="13" xfId="18" applyNumberFormat="1" applyFont="1" applyFill="1" applyBorder="1" applyAlignment="1">
      <alignment vertical="center" wrapText="1"/>
    </xf>
    <xf numFmtId="169" fontId="12" fillId="2" borderId="1" xfId="18" applyNumberFormat="1" applyFont="1" applyFill="1" applyBorder="1" applyAlignment="1">
      <alignment horizontal="center" vertical="center" wrapText="1"/>
    </xf>
    <xf numFmtId="167" fontId="8" fillId="2" borderId="6" xfId="18" applyFont="1" applyFill="1" applyBorder="1" applyAlignment="1">
      <alignment horizontal="justify" vertical="center" wrapText="1"/>
    </xf>
    <xf numFmtId="169" fontId="1" fillId="0" borderId="8" xfId="18" applyNumberFormat="1" applyFont="1" applyFill="1" applyBorder="1" applyAlignment="1">
      <alignment horizontal="center" vertical="center" wrapText="1"/>
    </xf>
    <xf numFmtId="169" fontId="12" fillId="0" borderId="8" xfId="18" applyNumberFormat="1" applyFont="1" applyFill="1" applyBorder="1" applyAlignment="1">
      <alignment horizontal="center" vertical="center" wrapText="1"/>
    </xf>
    <xf numFmtId="169" fontId="12" fillId="0" borderId="1" xfId="18" applyNumberFormat="1" applyFont="1" applyFill="1" applyBorder="1" applyAlignment="1">
      <alignment horizontal="center" vertical="center" wrapText="1"/>
    </xf>
    <xf numFmtId="169" fontId="1" fillId="0" borderId="15" xfId="18" applyNumberFormat="1" applyFont="1" applyFill="1" applyBorder="1" applyAlignment="1">
      <alignment horizontal="center" vertical="center" wrapText="1"/>
    </xf>
    <xf numFmtId="1" fontId="3" fillId="7" borderId="15" xfId="18" applyNumberFormat="1" applyFont="1" applyFill="1" applyBorder="1" applyAlignment="1">
      <alignment horizontal="center" vertical="center" wrapText="1"/>
    </xf>
    <xf numFmtId="1" fontId="3" fillId="7" borderId="11" xfId="18" applyNumberFormat="1" applyFont="1" applyFill="1" applyBorder="1" applyAlignment="1">
      <alignment vertical="center"/>
    </xf>
    <xf numFmtId="1" fontId="13" fillId="7" borderId="11" xfId="18" applyNumberFormat="1" applyFont="1" applyFill="1" applyBorder="1" applyAlignment="1">
      <alignment vertical="center"/>
    </xf>
    <xf numFmtId="1" fontId="3" fillId="7" borderId="3" xfId="18" applyNumberFormat="1" applyFont="1" applyFill="1" applyBorder="1" applyAlignment="1">
      <alignment vertical="center"/>
    </xf>
    <xf numFmtId="1" fontId="7" fillId="2" borderId="1" xfId="6" applyNumberFormat="1" applyFont="1" applyFill="1" applyBorder="1" applyAlignment="1">
      <alignment horizontal="center" vertical="center" wrapText="1"/>
    </xf>
    <xf numFmtId="167" fontId="1" fillId="0" borderId="1" xfId="18" applyFont="1" applyFill="1" applyBorder="1" applyAlignment="1">
      <alignment horizontal="center" vertical="center"/>
    </xf>
    <xf numFmtId="1" fontId="1" fillId="2" borderId="1" xfId="18" applyNumberFormat="1" applyFont="1" applyFill="1" applyBorder="1" applyAlignment="1">
      <alignment horizontal="center" vertical="center"/>
    </xf>
    <xf numFmtId="169" fontId="1" fillId="2" borderId="1" xfId="18" applyNumberFormat="1" applyFont="1" applyFill="1" applyBorder="1" applyAlignment="1">
      <alignment horizontal="center" vertical="center" wrapText="1"/>
    </xf>
    <xf numFmtId="169" fontId="1" fillId="2" borderId="6" xfId="18" applyNumberFormat="1" applyFont="1" applyFill="1" applyBorder="1" applyAlignment="1">
      <alignment horizontal="center" vertical="center" wrapText="1"/>
    </xf>
    <xf numFmtId="169" fontId="12" fillId="2" borderId="10" xfId="18" applyNumberFormat="1" applyFont="1" applyFill="1" applyBorder="1" applyAlignment="1">
      <alignment horizontal="center" vertical="center" wrapText="1"/>
    </xf>
    <xf numFmtId="1" fontId="3" fillId="11" borderId="15" xfId="18" applyNumberFormat="1" applyFont="1" applyFill="1" applyBorder="1" applyAlignment="1">
      <alignment horizontal="center" vertical="center" wrapText="1"/>
    </xf>
    <xf numFmtId="1" fontId="3" fillId="11" borderId="1" xfId="18" applyNumberFormat="1" applyFont="1" applyFill="1" applyBorder="1" applyAlignment="1">
      <alignment vertical="center"/>
    </xf>
    <xf numFmtId="1" fontId="3" fillId="11" borderId="11" xfId="18" applyNumberFormat="1" applyFont="1" applyFill="1" applyBorder="1" applyAlignment="1">
      <alignment vertical="center"/>
    </xf>
    <xf numFmtId="1" fontId="13" fillId="11" borderId="11" xfId="18" applyNumberFormat="1" applyFont="1" applyFill="1" applyBorder="1" applyAlignment="1">
      <alignment vertical="center"/>
    </xf>
    <xf numFmtId="1" fontId="3" fillId="11" borderId="3" xfId="18" applyNumberFormat="1" applyFont="1" applyFill="1" applyBorder="1" applyAlignment="1">
      <alignment vertical="center"/>
    </xf>
    <xf numFmtId="1" fontId="3" fillId="7" borderId="13" xfId="18" applyNumberFormat="1" applyFont="1" applyFill="1" applyBorder="1" applyAlignment="1">
      <alignment horizontal="center" vertical="center" wrapText="1"/>
    </xf>
    <xf numFmtId="167" fontId="3" fillId="7" borderId="7" xfId="18" applyFont="1" applyFill="1" applyBorder="1" applyAlignment="1">
      <alignment vertical="center"/>
    </xf>
    <xf numFmtId="167" fontId="13" fillId="7" borderId="11" xfId="18" applyFont="1" applyFill="1" applyBorder="1" applyAlignment="1">
      <alignment vertical="center"/>
    </xf>
    <xf numFmtId="167" fontId="3" fillId="7" borderId="3" xfId="18" applyFont="1" applyFill="1" applyBorder="1" applyAlignment="1">
      <alignment vertical="center"/>
    </xf>
    <xf numFmtId="167" fontId="1" fillId="2" borderId="6" xfId="18" applyFont="1" applyFill="1" applyBorder="1" applyAlignment="1">
      <alignment vertical="center" wrapText="1"/>
    </xf>
    <xf numFmtId="167" fontId="1" fillId="2" borderId="13" xfId="18" applyFont="1" applyFill="1" applyBorder="1" applyAlignment="1">
      <alignment vertical="center" wrapText="1"/>
    </xf>
    <xf numFmtId="1" fontId="1" fillId="0" borderId="1" xfId="18" applyNumberFormat="1" applyFont="1" applyFill="1" applyBorder="1" applyAlignment="1">
      <alignment horizontal="center" vertical="center"/>
    </xf>
    <xf numFmtId="169" fontId="12" fillId="2" borderId="6" xfId="18" applyNumberFormat="1" applyFont="1" applyFill="1" applyBorder="1" applyAlignment="1">
      <alignment horizontal="center" vertical="center" wrapText="1"/>
    </xf>
    <xf numFmtId="169" fontId="1" fillId="0" borderId="1" xfId="18" applyNumberFormat="1" applyFont="1" applyFill="1" applyBorder="1" applyAlignment="1">
      <alignment horizontal="center" vertical="center"/>
    </xf>
    <xf numFmtId="169" fontId="12" fillId="0" borderId="1" xfId="18" applyNumberFormat="1" applyFont="1" applyFill="1" applyBorder="1" applyAlignment="1">
      <alignment horizontal="center" vertical="center"/>
    </xf>
    <xf numFmtId="169" fontId="1" fillId="0" borderId="1" xfId="18" applyNumberFormat="1" applyFont="1" applyBorder="1" applyAlignment="1">
      <alignment horizontal="center" vertical="center"/>
    </xf>
    <xf numFmtId="169" fontId="12" fillId="0" borderId="1" xfId="18" applyNumberFormat="1" applyFont="1" applyBorder="1" applyAlignment="1">
      <alignment horizontal="center" vertical="center"/>
    </xf>
    <xf numFmtId="167" fontId="1" fillId="2" borderId="1" xfId="18" applyFont="1" applyFill="1" applyBorder="1" applyAlignment="1">
      <alignment horizontal="justify" vertical="center"/>
    </xf>
    <xf numFmtId="1" fontId="3" fillId="11" borderId="1" xfId="18" applyNumberFormat="1" applyFont="1" applyFill="1" applyBorder="1" applyAlignment="1">
      <alignment horizontal="center" vertical="center" wrapText="1"/>
    </xf>
    <xf numFmtId="167" fontId="3" fillId="11" borderId="7" xfId="18" applyFont="1" applyFill="1" applyBorder="1" applyAlignment="1">
      <alignment vertical="center"/>
    </xf>
    <xf numFmtId="167" fontId="3" fillId="11" borderId="11" xfId="18" applyFont="1" applyFill="1" applyBorder="1" applyAlignment="1">
      <alignment vertical="center"/>
    </xf>
    <xf numFmtId="167" fontId="13" fillId="11" borderId="11" xfId="18" applyFont="1" applyFill="1" applyBorder="1" applyAlignment="1">
      <alignment vertical="center"/>
    </xf>
    <xf numFmtId="167" fontId="3" fillId="11" borderId="3" xfId="18" applyFont="1" applyFill="1" applyBorder="1" applyAlignment="1">
      <alignment vertical="center"/>
    </xf>
    <xf numFmtId="1" fontId="3" fillId="7" borderId="1" xfId="18" applyNumberFormat="1" applyFont="1" applyFill="1" applyBorder="1" applyAlignment="1">
      <alignment horizontal="center" vertical="center" wrapText="1"/>
    </xf>
    <xf numFmtId="167" fontId="3" fillId="7" borderId="11" xfId="18" applyFont="1" applyFill="1" applyBorder="1" applyAlignment="1">
      <alignment vertical="center"/>
    </xf>
    <xf numFmtId="167" fontId="1" fillId="0" borderId="1" xfId="18" applyFont="1" applyFill="1" applyBorder="1" applyAlignment="1">
      <alignment horizontal="justify" vertical="center"/>
    </xf>
    <xf numFmtId="3" fontId="1" fillId="2" borderId="1" xfId="18" applyNumberFormat="1" applyFont="1" applyFill="1" applyBorder="1" applyAlignment="1">
      <alignment horizontal="center" vertical="center"/>
    </xf>
    <xf numFmtId="0" fontId="1" fillId="0" borderId="1" xfId="18" applyNumberFormat="1" applyFont="1" applyFill="1" applyBorder="1" applyAlignment="1">
      <alignment horizontal="center" vertical="center" wrapText="1"/>
    </xf>
    <xf numFmtId="167" fontId="1" fillId="0" borderId="1" xfId="18" applyFont="1" applyFill="1" applyBorder="1" applyAlignment="1">
      <alignment horizontal="justify" vertical="center" wrapText="1"/>
    </xf>
    <xf numFmtId="167" fontId="1" fillId="2" borderId="1" xfId="18" applyFont="1" applyFill="1" applyBorder="1" applyAlignment="1">
      <alignment horizontal="center" vertical="center"/>
    </xf>
    <xf numFmtId="3" fontId="1" fillId="0" borderId="7" xfId="18" applyNumberFormat="1" applyFont="1" applyFill="1" applyBorder="1" applyAlignment="1">
      <alignment horizontal="center" vertical="center"/>
    </xf>
    <xf numFmtId="1" fontId="3" fillId="7" borderId="1" xfId="18" applyNumberFormat="1" applyFont="1" applyFill="1" applyBorder="1" applyAlignment="1">
      <alignment horizontal="center" vertical="center"/>
    </xf>
    <xf numFmtId="167" fontId="13" fillId="7" borderId="3" xfId="18" applyFont="1" applyFill="1" applyBorder="1" applyAlignment="1">
      <alignment vertical="center"/>
    </xf>
    <xf numFmtId="167" fontId="1" fillId="0" borderId="10" xfId="18" applyFont="1" applyFill="1" applyBorder="1" applyAlignment="1">
      <alignment horizontal="center" vertical="center"/>
    </xf>
    <xf numFmtId="167" fontId="1" fillId="2" borderId="10" xfId="18" applyFont="1" applyFill="1" applyBorder="1" applyAlignment="1">
      <alignment horizontal="justify" vertical="center"/>
    </xf>
    <xf numFmtId="167" fontId="1" fillId="2" borderId="6" xfId="18" applyFont="1" applyFill="1" applyBorder="1" applyAlignment="1">
      <alignment horizontal="justify" vertical="center"/>
    </xf>
    <xf numFmtId="0" fontId="1" fillId="0" borderId="1" xfId="18" applyNumberFormat="1" applyFont="1" applyFill="1" applyBorder="1" applyAlignment="1">
      <alignment horizontal="justify" vertical="center" wrapText="1"/>
    </xf>
    <xf numFmtId="3" fontId="1" fillId="0" borderId="1" xfId="18" applyNumberFormat="1" applyFont="1" applyFill="1" applyBorder="1" applyAlignment="1">
      <alignment horizontal="center" vertical="center"/>
    </xf>
    <xf numFmtId="167" fontId="8" fillId="2" borderId="6" xfId="18" applyFont="1" applyFill="1" applyBorder="1" applyAlignment="1">
      <alignment horizontal="justify" vertical="top" wrapText="1"/>
    </xf>
    <xf numFmtId="1" fontId="3" fillId="7" borderId="13" xfId="18" applyNumberFormat="1" applyFont="1" applyFill="1" applyBorder="1" applyAlignment="1">
      <alignment horizontal="center" vertical="center"/>
    </xf>
    <xf numFmtId="167" fontId="3" fillId="7" borderId="15" xfId="18" applyFont="1" applyFill="1" applyBorder="1" applyAlignment="1">
      <alignment vertical="center"/>
    </xf>
    <xf numFmtId="167" fontId="3" fillId="7" borderId="11" xfId="18" applyFont="1" applyFill="1" applyBorder="1" applyAlignment="1">
      <alignment vertical="center" wrapText="1"/>
    </xf>
    <xf numFmtId="167" fontId="13" fillId="7" borderId="11" xfId="18" applyFont="1" applyFill="1" applyBorder="1" applyAlignment="1">
      <alignment vertical="center" wrapText="1"/>
    </xf>
    <xf numFmtId="167" fontId="3" fillId="7" borderId="3" xfId="18" applyFont="1" applyFill="1" applyBorder="1" applyAlignment="1">
      <alignment vertical="center" wrapText="1"/>
    </xf>
    <xf numFmtId="167" fontId="8" fillId="2" borderId="1" xfId="18" applyFont="1" applyFill="1" applyBorder="1" applyAlignment="1">
      <alignment horizontal="left" vertical="center" wrapText="1" readingOrder="2"/>
    </xf>
    <xf numFmtId="169" fontId="7" fillId="0" borderId="1" xfId="18" applyNumberFormat="1" applyFont="1" applyFill="1" applyBorder="1" applyAlignment="1">
      <alignment horizontal="center" vertical="center"/>
    </xf>
    <xf numFmtId="167" fontId="7" fillId="0" borderId="6" xfId="18" applyFont="1" applyFill="1" applyBorder="1" applyAlignment="1">
      <alignment horizontal="center" vertical="center" wrapText="1"/>
    </xf>
    <xf numFmtId="1" fontId="3" fillId="6" borderId="46" xfId="18" applyNumberFormat="1" applyFont="1" applyFill="1" applyBorder="1" applyAlignment="1">
      <alignment horizontal="center" vertical="center" wrapText="1"/>
    </xf>
    <xf numFmtId="1" fontId="3" fillId="6" borderId="7" xfId="18" applyNumberFormat="1" applyFont="1" applyFill="1" applyBorder="1" applyAlignment="1">
      <alignment vertical="center"/>
    </xf>
    <xf numFmtId="1" fontId="3" fillId="6" borderId="11" xfId="18" applyNumberFormat="1" applyFont="1" applyFill="1" applyBorder="1" applyAlignment="1">
      <alignment vertical="center"/>
    </xf>
    <xf numFmtId="1" fontId="13" fillId="6" borderId="11" xfId="18" applyNumberFormat="1" applyFont="1" applyFill="1" applyBorder="1" applyAlignment="1">
      <alignment vertical="center"/>
    </xf>
    <xf numFmtId="1" fontId="3" fillId="6" borderId="3" xfId="18" applyNumberFormat="1" applyFont="1" applyFill="1" applyBorder="1" applyAlignment="1">
      <alignment vertical="center"/>
    </xf>
    <xf numFmtId="1" fontId="3" fillId="11" borderId="10" xfId="18" applyNumberFormat="1" applyFont="1" applyFill="1" applyBorder="1" applyAlignment="1">
      <alignment horizontal="center" vertical="center"/>
    </xf>
    <xf numFmtId="167" fontId="3" fillId="11" borderId="8" xfId="18" applyFont="1" applyFill="1" applyBorder="1" applyAlignment="1">
      <alignment vertical="center"/>
    </xf>
    <xf numFmtId="167" fontId="3" fillId="11" borderId="2" xfId="18" applyFont="1" applyFill="1" applyBorder="1" applyAlignment="1">
      <alignment vertical="center"/>
    </xf>
    <xf numFmtId="167" fontId="13" fillId="11" borderId="2" xfId="18" applyFont="1" applyFill="1" applyBorder="1" applyAlignment="1">
      <alignment vertical="center"/>
    </xf>
    <xf numFmtId="167" fontId="3" fillId="11" borderId="9" xfId="18" applyFont="1" applyFill="1" applyBorder="1" applyAlignment="1">
      <alignment vertical="center"/>
    </xf>
    <xf numFmtId="1" fontId="3" fillId="11" borderId="6" xfId="18" applyNumberFormat="1" applyFont="1" applyFill="1" applyBorder="1" applyAlignment="1">
      <alignment horizontal="center" vertical="center"/>
    </xf>
    <xf numFmtId="167" fontId="7" fillId="2" borderId="1" xfId="18" applyFont="1" applyFill="1" applyBorder="1" applyAlignment="1">
      <alignment horizontal="justify" vertical="center" wrapText="1"/>
    </xf>
    <xf numFmtId="167" fontId="1" fillId="0" borderId="6" xfId="18" applyFont="1" applyFill="1" applyBorder="1" applyAlignment="1">
      <alignment horizontal="center" vertical="center"/>
    </xf>
    <xf numFmtId="1" fontId="1" fillId="0" borderId="6" xfId="18" applyNumberFormat="1" applyFont="1" applyBorder="1" applyAlignment="1">
      <alignment vertical="center"/>
    </xf>
    <xf numFmtId="1" fontId="12" fillId="0" borderId="6" xfId="18" applyNumberFormat="1" applyFont="1" applyBorder="1" applyAlignment="1">
      <alignment vertical="center"/>
    </xf>
    <xf numFmtId="1" fontId="1" fillId="0" borderId="6" xfId="18" applyNumberFormat="1" applyFont="1" applyBorder="1"/>
    <xf numFmtId="1" fontId="12" fillId="0" borderId="6" xfId="18" applyNumberFormat="1" applyFont="1" applyBorder="1"/>
    <xf numFmtId="170" fontId="3" fillId="2" borderId="48" xfId="18" applyNumberFormat="1" applyFont="1" applyFill="1" applyBorder="1" applyAlignment="1">
      <alignment horizontal="center" vertical="center"/>
    </xf>
    <xf numFmtId="167" fontId="3" fillId="2" borderId="40" xfId="18" applyFont="1" applyFill="1" applyBorder="1" applyAlignment="1">
      <alignment vertical="center"/>
    </xf>
    <xf numFmtId="167" fontId="3" fillId="2" borderId="39" xfId="18" applyFont="1" applyFill="1" applyBorder="1" applyAlignment="1">
      <alignment vertical="center"/>
    </xf>
    <xf numFmtId="167" fontId="3" fillId="2" borderId="41" xfId="18" applyFont="1" applyFill="1" applyBorder="1" applyAlignment="1">
      <alignment horizontal="justify" vertical="center"/>
    </xf>
    <xf numFmtId="170" fontId="3" fillId="2" borderId="48" xfId="18" applyNumberFormat="1" applyFont="1" applyFill="1" applyBorder="1" applyAlignment="1">
      <alignment vertical="center"/>
    </xf>
    <xf numFmtId="167" fontId="1" fillId="2" borderId="39" xfId="18" applyFont="1" applyFill="1" applyBorder="1" applyAlignment="1">
      <alignment horizontal="justify" vertical="center"/>
    </xf>
    <xf numFmtId="167" fontId="1" fillId="0" borderId="39" xfId="18" applyFont="1" applyBorder="1" applyAlignment="1">
      <alignment vertical="center"/>
    </xf>
    <xf numFmtId="167" fontId="12" fillId="0" borderId="39" xfId="18" applyFont="1" applyBorder="1" applyAlignment="1">
      <alignment vertical="center"/>
    </xf>
    <xf numFmtId="167" fontId="1" fillId="0" borderId="39" xfId="18" applyFont="1" applyFill="1" applyBorder="1" applyAlignment="1">
      <alignment horizontal="right" vertical="center"/>
    </xf>
    <xf numFmtId="167" fontId="12" fillId="0" borderId="39" xfId="18" applyFont="1" applyFill="1" applyBorder="1" applyAlignment="1">
      <alignment horizontal="right" vertical="center"/>
    </xf>
    <xf numFmtId="169" fontId="1" fillId="0" borderId="39" xfId="18" applyNumberFormat="1" applyFont="1" applyBorder="1" applyAlignment="1">
      <alignment horizontal="center" vertical="center"/>
    </xf>
    <xf numFmtId="169" fontId="12" fillId="0" borderId="39" xfId="18" applyNumberFormat="1" applyFont="1" applyBorder="1" applyAlignment="1">
      <alignment horizontal="center" vertical="center"/>
    </xf>
    <xf numFmtId="167" fontId="1" fillId="0" borderId="41" xfId="18" applyFont="1" applyBorder="1" applyAlignment="1">
      <alignment horizontal="left" vertical="center"/>
    </xf>
    <xf numFmtId="167" fontId="1" fillId="0" borderId="0" xfId="18" applyFont="1" applyFill="1" applyAlignment="1">
      <alignment vertical="center"/>
    </xf>
    <xf numFmtId="167" fontId="1" fillId="0" borderId="0" xfId="18" applyFont="1" applyAlignment="1">
      <alignment vertical="center"/>
    </xf>
    <xf numFmtId="167" fontId="1" fillId="0" borderId="0" xfId="18" applyFont="1" applyBorder="1"/>
    <xf numFmtId="167" fontId="1" fillId="2" borderId="0" xfId="18" applyFont="1" applyFill="1" applyBorder="1"/>
    <xf numFmtId="167" fontId="1" fillId="2" borderId="0" xfId="18" applyFont="1" applyFill="1" applyBorder="1" applyAlignment="1">
      <alignment horizontal="center"/>
    </xf>
    <xf numFmtId="0" fontId="1" fillId="2" borderId="0" xfId="18" applyNumberFormat="1" applyFont="1" applyFill="1" applyBorder="1"/>
    <xf numFmtId="167" fontId="1" fillId="2" borderId="0" xfId="18" applyFont="1" applyFill="1" applyBorder="1" applyAlignment="1"/>
    <xf numFmtId="167" fontId="1" fillId="2" borderId="0" xfId="18" applyFont="1" applyFill="1" applyBorder="1" applyAlignment="1">
      <alignment horizontal="center" vertical="center"/>
    </xf>
    <xf numFmtId="170" fontId="1" fillId="2" borderId="0" xfId="18" applyNumberFormat="1" applyFont="1" applyFill="1" applyBorder="1" applyAlignment="1">
      <alignment horizontal="center"/>
    </xf>
    <xf numFmtId="167" fontId="1" fillId="2" borderId="0" xfId="18" applyFont="1" applyFill="1" applyBorder="1" applyAlignment="1">
      <alignment horizontal="justify" vertical="center"/>
    </xf>
    <xf numFmtId="170" fontId="1" fillId="2" borderId="0" xfId="18" applyNumberFormat="1" applyFont="1" applyFill="1" applyBorder="1" applyAlignment="1">
      <alignment horizontal="justify" vertical="center"/>
    </xf>
    <xf numFmtId="167" fontId="12" fillId="0" borderId="0" xfId="18" applyFont="1" applyBorder="1"/>
    <xf numFmtId="167" fontId="1" fillId="0" borderId="0" xfId="18" applyFont="1" applyFill="1" applyBorder="1" applyAlignment="1">
      <alignment horizontal="right" vertical="center"/>
    </xf>
    <xf numFmtId="167" fontId="12" fillId="0" borderId="0" xfId="18" applyFont="1" applyFill="1" applyBorder="1" applyAlignment="1">
      <alignment horizontal="right" vertical="center"/>
    </xf>
    <xf numFmtId="169" fontId="1" fillId="0" borderId="0" xfId="18" applyNumberFormat="1" applyFont="1" applyBorder="1" applyAlignment="1">
      <alignment horizontal="center"/>
    </xf>
    <xf numFmtId="169" fontId="12" fillId="0" borderId="0" xfId="18" applyNumberFormat="1" applyFont="1" applyBorder="1" applyAlignment="1">
      <alignment horizontal="center"/>
    </xf>
    <xf numFmtId="167" fontId="1" fillId="0" borderId="0" xfId="18" applyFont="1" applyBorder="1" applyAlignment="1">
      <alignment horizontal="left"/>
    </xf>
    <xf numFmtId="170" fontId="1" fillId="2" borderId="0" xfId="18" applyNumberFormat="1" applyFont="1" applyFill="1" applyAlignment="1">
      <alignment horizontal="center"/>
    </xf>
    <xf numFmtId="167" fontId="1" fillId="2" borderId="0" xfId="18" applyFont="1" applyFill="1" applyAlignment="1">
      <alignment horizontal="justify" vertical="center"/>
    </xf>
    <xf numFmtId="170" fontId="1" fillId="2" borderId="0" xfId="18" applyNumberFormat="1" applyFont="1" applyFill="1" applyAlignment="1">
      <alignment horizontal="justify" vertical="center"/>
    </xf>
    <xf numFmtId="167" fontId="12" fillId="0" borderId="0" xfId="18" applyFont="1"/>
    <xf numFmtId="167" fontId="1" fillId="2" borderId="12" xfId="18" applyFont="1" applyFill="1" applyBorder="1" applyAlignment="1">
      <alignment horizontal="center"/>
    </xf>
    <xf numFmtId="167" fontId="1" fillId="2" borderId="0" xfId="18" applyFont="1" applyFill="1" applyAlignment="1">
      <alignment horizontal="center"/>
    </xf>
    <xf numFmtId="0" fontId="1" fillId="2" borderId="0" xfId="18" applyNumberFormat="1" applyFont="1" applyFill="1"/>
    <xf numFmtId="167" fontId="1" fillId="2" borderId="0" xfId="18" applyFont="1" applyFill="1" applyAlignment="1"/>
    <xf numFmtId="167" fontId="1" fillId="2" borderId="0" xfId="18" applyFont="1" applyFill="1" applyAlignment="1">
      <alignment horizontal="center" vertical="center"/>
    </xf>
    <xf numFmtId="167" fontId="1" fillId="0" borderId="0" xfId="18" applyFont="1" applyFill="1" applyAlignment="1">
      <alignment horizontal="right" vertical="center"/>
    </xf>
    <xf numFmtId="167" fontId="12" fillId="0" borderId="0" xfId="18" applyFont="1" applyFill="1" applyAlignment="1">
      <alignment horizontal="right" vertical="center"/>
    </xf>
    <xf numFmtId="169" fontId="1" fillId="0" borderId="0" xfId="18" applyNumberFormat="1" applyFont="1" applyAlignment="1">
      <alignment horizontal="center"/>
    </xf>
    <xf numFmtId="169" fontId="12" fillId="0" borderId="0" xfId="18" applyNumberFormat="1" applyFont="1" applyAlignment="1">
      <alignment horizontal="center"/>
    </xf>
    <xf numFmtId="167" fontId="1" fillId="0" borderId="0" xfId="18" applyFont="1" applyAlignment="1">
      <alignment horizontal="left"/>
    </xf>
    <xf numFmtId="0" fontId="13" fillId="8" borderId="12" xfId="0" applyFont="1" applyFill="1" applyBorder="1" applyAlignment="1">
      <alignment vertical="center"/>
    </xf>
    <xf numFmtId="4" fontId="1" fillId="2" borderId="1" xfId="18" applyNumberFormat="1" applyFont="1" applyFill="1" applyBorder="1" applyAlignment="1">
      <alignment horizontal="center" vertical="center" wrapText="1"/>
    </xf>
    <xf numFmtId="0" fontId="29" fillId="0" borderId="0" xfId="0" applyFont="1" applyFill="1" applyBorder="1"/>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169" fontId="31" fillId="3" borderId="1" xfId="0" applyNumberFormat="1" applyFont="1" applyFill="1" applyBorder="1" applyAlignment="1">
      <alignment horizontal="center" vertical="center" wrapText="1"/>
    </xf>
    <xf numFmtId="0" fontId="3" fillId="3" borderId="14" xfId="0" applyFont="1" applyFill="1" applyBorder="1" applyAlignment="1">
      <alignment vertical="center" wrapText="1"/>
    </xf>
    <xf numFmtId="0" fontId="13" fillId="3" borderId="13" xfId="0" applyFont="1" applyFill="1" applyBorder="1" applyAlignment="1">
      <alignment vertical="center" wrapText="1"/>
    </xf>
    <xf numFmtId="0" fontId="13" fillId="3" borderId="15" xfId="0" applyFont="1" applyFill="1" applyBorder="1" applyAlignment="1">
      <alignment horizontal="center" vertical="center" wrapText="1"/>
    </xf>
    <xf numFmtId="49" fontId="3" fillId="3" borderId="15" xfId="0" applyNumberFormat="1" applyFont="1" applyFill="1" applyBorder="1" applyAlignment="1">
      <alignment vertical="center" wrapText="1"/>
    </xf>
    <xf numFmtId="49" fontId="13" fillId="3" borderId="15" xfId="0" applyNumberFormat="1" applyFont="1" applyFill="1" applyBorder="1" applyAlignment="1">
      <alignment horizontal="center" vertical="center" wrapText="1"/>
    </xf>
    <xf numFmtId="0" fontId="3" fillId="3" borderId="15" xfId="0" applyFont="1" applyFill="1" applyBorder="1" applyAlignment="1">
      <alignment horizontal="center" vertical="center" textRotation="180" wrapText="1"/>
    </xf>
    <xf numFmtId="9" fontId="3" fillId="3" borderId="15" xfId="5" applyFont="1" applyFill="1" applyBorder="1" applyAlignment="1">
      <alignment horizontal="center" vertical="center" wrapText="1"/>
    </xf>
    <xf numFmtId="169" fontId="3" fillId="3" borderId="15" xfId="0" applyNumberFormat="1" applyFont="1" applyFill="1" applyBorder="1" applyAlignment="1">
      <alignment vertical="center" wrapText="1"/>
    </xf>
    <xf numFmtId="169" fontId="13" fillId="3" borderId="15" xfId="0" applyNumberFormat="1" applyFont="1" applyFill="1" applyBorder="1" applyAlignment="1">
      <alignment vertical="center" wrapText="1"/>
    </xf>
    <xf numFmtId="3" fontId="3" fillId="3" borderId="15" xfId="0" applyNumberFormat="1" applyFont="1" applyFill="1" applyBorder="1" applyAlignment="1">
      <alignment vertical="center" wrapText="1"/>
    </xf>
    <xf numFmtId="0" fontId="13" fillId="6" borderId="11" xfId="0" applyFont="1" applyFill="1" applyBorder="1" applyAlignment="1">
      <alignment horizontal="center" vertical="center"/>
    </xf>
    <xf numFmtId="0" fontId="13" fillId="6" borderId="11" xfId="0" applyFont="1" applyFill="1" applyBorder="1" applyAlignment="1">
      <alignment horizontal="justify" vertical="center"/>
    </xf>
    <xf numFmtId="9" fontId="3" fillId="6" borderId="11" xfId="5" applyFont="1" applyFill="1" applyBorder="1" applyAlignment="1">
      <alignment vertical="center"/>
    </xf>
    <xf numFmtId="0" fontId="3" fillId="0" borderId="6" xfId="0" applyFont="1" applyFill="1" applyBorder="1" applyAlignment="1">
      <alignment vertical="center" wrapText="1"/>
    </xf>
    <xf numFmtId="0" fontId="3" fillId="11" borderId="12" xfId="0" applyFont="1" applyFill="1" applyBorder="1" applyAlignment="1">
      <alignment horizontal="justify" vertical="center" wrapText="1"/>
    </xf>
    <xf numFmtId="0" fontId="13" fillId="11" borderId="11" xfId="0" applyFont="1" applyFill="1" applyBorder="1" applyAlignment="1">
      <alignment horizontal="justify" vertical="center"/>
    </xf>
    <xf numFmtId="9" fontId="3" fillId="11" borderId="11" xfId="5" applyFont="1" applyFill="1" applyBorder="1" applyAlignment="1">
      <alignment vertical="center"/>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5" xfId="0" applyFont="1" applyFill="1" applyBorder="1" applyAlignment="1">
      <alignment vertical="center" wrapText="1"/>
    </xf>
    <xf numFmtId="0" fontId="3" fillId="8" borderId="11" xfId="0" applyFont="1" applyFill="1" applyBorder="1" applyAlignment="1">
      <alignment horizontal="justify" vertical="center" wrapText="1"/>
    </xf>
    <xf numFmtId="0" fontId="13" fillId="8" borderId="11" xfId="0" applyFont="1" applyFill="1" applyBorder="1" applyAlignment="1">
      <alignment horizontal="justify" vertical="center"/>
    </xf>
    <xf numFmtId="42" fontId="13" fillId="8" borderId="11" xfId="0" applyNumberFormat="1" applyFont="1" applyFill="1" applyBorder="1" applyAlignment="1">
      <alignment horizontal="justify" vertical="center"/>
    </xf>
    <xf numFmtId="9" fontId="3" fillId="8" borderId="11" xfId="5" applyFont="1" applyFill="1" applyBorder="1" applyAlignment="1">
      <alignment vertical="center"/>
    </xf>
    <xf numFmtId="0" fontId="1" fillId="2" borderId="13"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1" fillId="2" borderId="4" xfId="0" applyFont="1" applyFill="1" applyBorder="1" applyAlignment="1">
      <alignment vertical="center" wrapText="1"/>
    </xf>
    <xf numFmtId="0" fontId="1" fillId="2" borderId="12" xfId="0" applyFont="1" applyFill="1" applyBorder="1" applyAlignment="1">
      <alignment vertical="center" wrapText="1"/>
    </xf>
    <xf numFmtId="0" fontId="1" fillId="2" borderId="5" xfId="0" applyFont="1" applyFill="1" applyBorder="1" applyAlignment="1">
      <alignment vertical="center" wrapText="1"/>
    </xf>
    <xf numFmtId="42" fontId="12" fillId="0" borderId="1" xfId="16" applyFont="1" applyFill="1" applyBorder="1" applyAlignment="1">
      <alignment horizontal="justify" vertical="center" wrapText="1"/>
    </xf>
    <xf numFmtId="0" fontId="1" fillId="2" borderId="15" xfId="0" applyFont="1" applyFill="1" applyBorder="1" applyAlignment="1">
      <alignment vertical="center" wrapText="1"/>
    </xf>
    <xf numFmtId="0" fontId="1" fillId="2" borderId="14"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Fill="1" applyBorder="1" applyAlignment="1">
      <alignment vertical="center" wrapText="1"/>
    </xf>
    <xf numFmtId="0" fontId="3" fillId="0" borderId="9" xfId="0" applyFont="1" applyFill="1" applyBorder="1" applyAlignment="1">
      <alignment vertical="center"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1" fillId="2" borderId="9" xfId="0" applyFont="1" applyFill="1" applyBorder="1" applyAlignment="1">
      <alignment vertical="center" wrapText="1"/>
    </xf>
    <xf numFmtId="42" fontId="3" fillId="11" borderId="11" xfId="0" applyNumberFormat="1" applyFont="1" applyFill="1" applyBorder="1" applyAlignment="1">
      <alignment horizontal="justify" vertical="center"/>
    </xf>
    <xf numFmtId="42" fontId="11" fillId="11" borderId="11" xfId="0" applyNumberFormat="1" applyFont="1" applyFill="1" applyBorder="1" applyAlignment="1">
      <alignment horizontal="justify" vertical="center"/>
    </xf>
    <xf numFmtId="1" fontId="3" fillId="11" borderId="11" xfId="0" applyNumberFormat="1" applyFont="1" applyFill="1" applyBorder="1" applyAlignment="1">
      <alignment horizontal="center" vertical="center"/>
    </xf>
    <xf numFmtId="9" fontId="3" fillId="11" borderId="11" xfId="5" applyFont="1" applyFill="1" applyBorder="1" applyAlignment="1">
      <alignment horizontal="justify" vertical="center"/>
    </xf>
    <xf numFmtId="9" fontId="3" fillId="8" borderId="11" xfId="5" applyFont="1" applyFill="1" applyBorder="1" applyAlignment="1">
      <alignment horizontal="justify" vertical="center"/>
    </xf>
    <xf numFmtId="1" fontId="1" fillId="2" borderId="6" xfId="5" applyNumberFormat="1" applyFont="1" applyFill="1" applyBorder="1" applyAlignment="1">
      <alignment horizontal="center" vertical="center" wrapText="1"/>
    </xf>
    <xf numFmtId="42" fontId="12" fillId="0" borderId="13" xfId="16" applyFont="1" applyFill="1" applyBorder="1" applyAlignment="1">
      <alignment horizontal="justify" vertical="center" wrapText="1"/>
    </xf>
    <xf numFmtId="42" fontId="3" fillId="8" borderId="11" xfId="0" applyNumberFormat="1" applyFont="1" applyFill="1" applyBorder="1" applyAlignment="1">
      <alignment horizontal="justify" vertical="center"/>
    </xf>
    <xf numFmtId="42" fontId="11" fillId="8" borderId="11" xfId="0" applyNumberFormat="1" applyFont="1" applyFill="1" applyBorder="1" applyAlignment="1">
      <alignment horizontal="justify" vertical="center"/>
    </xf>
    <xf numFmtId="0" fontId="3" fillId="2" borderId="15" xfId="0" applyFont="1" applyFill="1" applyBorder="1" applyAlignment="1">
      <alignment vertical="center" wrapText="1"/>
    </xf>
    <xf numFmtId="0" fontId="3" fillId="2" borderId="14" xfId="0" applyFont="1" applyFill="1" applyBorder="1" applyAlignment="1">
      <alignment vertical="center" wrapText="1"/>
    </xf>
    <xf numFmtId="0" fontId="3" fillId="2" borderId="12" xfId="0" applyFont="1" applyFill="1" applyBorder="1" applyAlignment="1">
      <alignment vertical="center" wrapText="1"/>
    </xf>
    <xf numFmtId="0" fontId="3" fillId="2" borderId="5" xfId="0" applyFont="1" applyFill="1" applyBorder="1" applyAlignment="1">
      <alignment vertical="center" wrapText="1"/>
    </xf>
    <xf numFmtId="37" fontId="12" fillId="0" borderId="1" xfId="13" applyNumberFormat="1" applyFont="1" applyFill="1" applyBorder="1" applyAlignment="1">
      <alignment horizontal="center" vertical="center"/>
    </xf>
    <xf numFmtId="42" fontId="1" fillId="2" borderId="8" xfId="16" applyFont="1" applyFill="1" applyBorder="1" applyAlignment="1">
      <alignment horizontal="justify" vertical="center" wrapText="1"/>
    </xf>
    <xf numFmtId="0" fontId="3" fillId="2" borderId="9" xfId="0" applyFont="1" applyFill="1" applyBorder="1" applyAlignment="1">
      <alignment vertical="center" wrapText="1"/>
    </xf>
    <xf numFmtId="1" fontId="12" fillId="0" borderId="6" xfId="3" applyNumberFormat="1" applyFont="1" applyFill="1" applyBorder="1" applyAlignment="1">
      <alignment horizontal="center" vertical="center" wrapText="1"/>
    </xf>
    <xf numFmtId="42" fontId="1" fillId="2" borderId="1" xfId="16" applyFont="1" applyFill="1" applyBorder="1" applyAlignment="1">
      <alignment horizontal="justify" vertical="center" wrapText="1"/>
    </xf>
    <xf numFmtId="42" fontId="12" fillId="2" borderId="1" xfId="16" applyFont="1" applyFill="1" applyBorder="1" applyAlignment="1">
      <alignment horizontal="justify" vertical="center" wrapText="1"/>
    </xf>
    <xf numFmtId="1" fontId="12" fillId="0" borderId="1" xfId="3" applyNumberFormat="1" applyFont="1" applyFill="1" applyBorder="1" applyAlignment="1">
      <alignment horizontal="center" vertical="center" wrapText="1"/>
    </xf>
    <xf numFmtId="42" fontId="7" fillId="2" borderId="1" xfId="16" applyFont="1" applyFill="1" applyBorder="1" applyAlignment="1">
      <alignment horizontal="justify" vertical="center" wrapText="1"/>
    </xf>
    <xf numFmtId="42" fontId="12" fillId="2" borderId="10" xfId="16" applyFont="1" applyFill="1" applyBorder="1" applyAlignment="1">
      <alignment horizontal="justify" vertical="center" wrapText="1"/>
    </xf>
    <xf numFmtId="9" fontId="7" fillId="2" borderId="0" xfId="5" applyFont="1" applyFill="1" applyBorder="1" applyAlignment="1">
      <alignment horizontal="center" vertical="center" wrapText="1"/>
    </xf>
    <xf numFmtId="0" fontId="7" fillId="0" borderId="0" xfId="0" applyFont="1" applyFill="1" applyBorder="1" applyAlignment="1">
      <alignment horizontal="justify" vertical="center" wrapText="1"/>
    </xf>
    <xf numFmtId="1" fontId="1" fillId="2" borderId="6" xfId="0" applyNumberFormat="1" applyFont="1" applyFill="1" applyBorder="1" applyAlignment="1">
      <alignment vertical="center" wrapText="1"/>
    </xf>
    <xf numFmtId="1" fontId="12" fillId="2" borderId="6" xfId="0" applyNumberFormat="1" applyFont="1" applyFill="1" applyBorder="1" applyAlignment="1">
      <alignment vertical="center" wrapText="1"/>
    </xf>
    <xf numFmtId="14" fontId="1" fillId="0" borderId="1"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2" xfId="0" applyFont="1" applyFill="1" applyBorder="1" applyAlignment="1">
      <alignment vertical="center"/>
    </xf>
    <xf numFmtId="0" fontId="3" fillId="2" borderId="5" xfId="0" applyFont="1" applyFill="1" applyBorder="1" applyAlignment="1">
      <alignment vertical="center"/>
    </xf>
    <xf numFmtId="9" fontId="1" fillId="2" borderId="1" xfId="0" applyNumberFormat="1" applyFont="1" applyFill="1" applyBorder="1" applyAlignment="1">
      <alignment horizontal="center" vertical="center"/>
    </xf>
    <xf numFmtId="42" fontId="1" fillId="2" borderId="1" xfId="16" applyFont="1" applyFill="1" applyBorder="1" applyAlignment="1">
      <alignment horizontal="justify" vertical="center"/>
    </xf>
    <xf numFmtId="172" fontId="1" fillId="2" borderId="1" xfId="20" applyNumberFormat="1" applyFont="1" applyFill="1" applyBorder="1" applyAlignment="1">
      <alignment horizontal="justify" vertical="center"/>
    </xf>
    <xf numFmtId="172" fontId="12" fillId="2" borderId="1" xfId="20" applyNumberFormat="1" applyFont="1" applyFill="1" applyBorder="1" applyAlignment="1">
      <alignment horizontal="justify" vertical="center"/>
    </xf>
    <xf numFmtId="0" fontId="1" fillId="2" borderId="12" xfId="0" applyFont="1" applyFill="1" applyBorder="1" applyAlignment="1">
      <alignment horizontal="justify" vertical="center" wrapText="1"/>
    </xf>
    <xf numFmtId="0" fontId="7" fillId="2" borderId="13" xfId="0" applyFont="1" applyFill="1" applyBorder="1" applyAlignment="1">
      <alignment vertical="center" wrapText="1"/>
    </xf>
    <xf numFmtId="0" fontId="7" fillId="2" borderId="15" xfId="0" applyFont="1" applyFill="1" applyBorder="1" applyAlignment="1">
      <alignment vertical="center" wrapText="1"/>
    </xf>
    <xf numFmtId="0" fontId="7" fillId="2" borderId="0" xfId="0" applyFont="1" applyFill="1" applyBorder="1" applyAlignment="1">
      <alignment vertical="center" wrapText="1"/>
    </xf>
    <xf numFmtId="0" fontId="7" fillId="2" borderId="14" xfId="0" applyFont="1" applyFill="1" applyBorder="1" applyAlignment="1">
      <alignment vertical="center" wrapText="1"/>
    </xf>
    <xf numFmtId="0" fontId="7" fillId="2" borderId="2" xfId="0" applyFont="1" applyFill="1" applyBorder="1" applyAlignment="1">
      <alignment vertical="center" wrapText="1"/>
    </xf>
    <xf numFmtId="0" fontId="7" fillId="2" borderId="9" xfId="0" applyFont="1" applyFill="1" applyBorder="1" applyAlignment="1">
      <alignment vertical="center" wrapText="1"/>
    </xf>
    <xf numFmtId="172" fontId="3" fillId="8" borderId="11" xfId="0" applyNumberFormat="1" applyFont="1" applyFill="1" applyBorder="1" applyAlignment="1">
      <alignment horizontal="justify" vertical="center"/>
    </xf>
    <xf numFmtId="172" fontId="13" fillId="8" borderId="11" xfId="0" applyNumberFormat="1" applyFont="1" applyFill="1" applyBorder="1" applyAlignment="1">
      <alignment horizontal="justify" vertical="center"/>
    </xf>
    <xf numFmtId="1" fontId="13" fillId="8" borderId="11" xfId="0" applyNumberFormat="1" applyFont="1" applyFill="1" applyBorder="1" applyAlignment="1">
      <alignment horizontal="center" vertical="center"/>
    </xf>
    <xf numFmtId="0" fontId="11" fillId="2" borderId="13" xfId="0" applyFont="1" applyFill="1" applyBorder="1" applyAlignment="1">
      <alignment vertical="center" wrapText="1"/>
    </xf>
    <xf numFmtId="0" fontId="11" fillId="2" borderId="15" xfId="0" applyFont="1" applyFill="1" applyBorder="1" applyAlignment="1">
      <alignment vertical="center" wrapText="1"/>
    </xf>
    <xf numFmtId="0" fontId="11" fillId="2" borderId="0" xfId="0" applyFont="1" applyFill="1" applyBorder="1" applyAlignment="1">
      <alignment vertical="center" wrapText="1"/>
    </xf>
    <xf numFmtId="0" fontId="11" fillId="2" borderId="14" xfId="0" applyFont="1" applyFill="1" applyBorder="1" applyAlignment="1">
      <alignment vertical="center" wrapText="1"/>
    </xf>
    <xf numFmtId="42" fontId="7" fillId="0" borderId="10" xfId="16" applyFont="1" applyFill="1" applyBorder="1" applyAlignment="1">
      <alignment horizontal="justify" vertical="center" wrapText="1"/>
    </xf>
    <xf numFmtId="42" fontId="12" fillId="0" borderId="10" xfId="16" applyFont="1" applyFill="1" applyBorder="1" applyAlignment="1">
      <alignment horizontal="justify" vertical="center" wrapText="1"/>
    </xf>
    <xf numFmtId="42" fontId="1" fillId="0" borderId="1" xfId="16" applyFont="1" applyFill="1" applyBorder="1" applyAlignment="1">
      <alignment vertical="center" wrapText="1"/>
    </xf>
    <xf numFmtId="42" fontId="12" fillId="0" borderId="1" xfId="16" applyFont="1" applyFill="1" applyBorder="1" applyAlignment="1">
      <alignment vertical="center" wrapText="1"/>
    </xf>
    <xf numFmtId="42" fontId="1" fillId="0" borderId="10" xfId="16" applyFont="1" applyFill="1" applyBorder="1" applyAlignment="1">
      <alignment vertical="center" wrapText="1"/>
    </xf>
    <xf numFmtId="175" fontId="3" fillId="8" borderId="11" xfId="14" applyNumberFormat="1" applyFont="1" applyFill="1" applyBorder="1" applyAlignment="1">
      <alignment horizontal="justify" vertical="center"/>
    </xf>
    <xf numFmtId="1" fontId="13" fillId="8" borderId="11" xfId="0" applyNumberFormat="1" applyFont="1" applyFill="1" applyBorder="1" applyAlignment="1">
      <alignment horizontal="justify" vertical="center"/>
    </xf>
    <xf numFmtId="42" fontId="12" fillId="2" borderId="1" xfId="16" applyFont="1" applyFill="1" applyBorder="1" applyAlignment="1">
      <alignment horizontal="justify" vertical="center"/>
    </xf>
    <xf numFmtId="1" fontId="3" fillId="8" borderId="11" xfId="0" applyNumberFormat="1" applyFont="1" applyFill="1" applyBorder="1" applyAlignment="1">
      <alignment horizontal="justify" vertical="center"/>
    </xf>
    <xf numFmtId="42" fontId="1" fillId="0" borderId="1" xfId="16" applyFont="1" applyFill="1" applyBorder="1" applyAlignment="1">
      <alignment horizontal="justify" vertical="center" wrapText="1"/>
    </xf>
    <xf numFmtId="42" fontId="3" fillId="8" borderId="11" xfId="16" applyFont="1" applyFill="1" applyBorder="1" applyAlignment="1">
      <alignment horizontal="justify" vertical="center"/>
    </xf>
    <xf numFmtId="42" fontId="11" fillId="8" borderId="11" xfId="16" applyFont="1" applyFill="1" applyBorder="1" applyAlignment="1">
      <alignment horizontal="justify" vertical="center"/>
    </xf>
    <xf numFmtId="0" fontId="1" fillId="8" borderId="6" xfId="0" applyFont="1" applyFill="1" applyBorder="1" applyAlignment="1">
      <alignment vertical="center" wrapText="1"/>
    </xf>
    <xf numFmtId="0" fontId="1" fillId="8" borderId="15" xfId="0" applyFont="1" applyFill="1" applyBorder="1" applyAlignment="1">
      <alignment horizontal="justify" vertical="center" wrapText="1"/>
    </xf>
    <xf numFmtId="0" fontId="1" fillId="8" borderId="13"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1" fillId="8" borderId="15" xfId="0" applyFont="1" applyFill="1" applyBorder="1" applyAlignment="1">
      <alignment horizontal="center" vertical="center" wrapText="1"/>
    </xf>
    <xf numFmtId="0" fontId="1" fillId="8" borderId="13" xfId="0" applyFont="1" applyFill="1" applyBorder="1" applyAlignment="1">
      <alignment horizontal="justify" vertical="center" wrapText="1"/>
    </xf>
    <xf numFmtId="9" fontId="7" fillId="8" borderId="6" xfId="5" applyFont="1" applyFill="1" applyBorder="1" applyAlignment="1">
      <alignment horizontal="center" vertical="center" wrapText="1"/>
    </xf>
    <xf numFmtId="42" fontId="1" fillId="8" borderId="13" xfId="16" applyFont="1" applyFill="1" applyBorder="1" applyAlignment="1">
      <alignment horizontal="justify" vertical="center" wrapText="1"/>
    </xf>
    <xf numFmtId="42" fontId="1" fillId="8" borderId="10" xfId="0" applyNumberFormat="1" applyFont="1" applyFill="1" applyBorder="1" applyAlignment="1">
      <alignment horizontal="justify" vertical="center" wrapText="1"/>
    </xf>
    <xf numFmtId="42" fontId="1" fillId="8" borderId="10" xfId="16" applyFont="1" applyFill="1" applyBorder="1" applyAlignment="1">
      <alignment horizontal="justify" vertical="center" wrapText="1"/>
    </xf>
    <xf numFmtId="1" fontId="1" fillId="8" borderId="10" xfId="0" applyNumberFormat="1" applyFont="1" applyFill="1" applyBorder="1" applyAlignment="1">
      <alignment horizontal="center" vertical="center" wrapText="1"/>
    </xf>
    <xf numFmtId="42" fontId="1" fillId="8" borderId="13" xfId="0" applyNumberFormat="1" applyFont="1" applyFill="1" applyBorder="1" applyAlignment="1">
      <alignment horizontal="justify" vertical="center" wrapText="1"/>
    </xf>
    <xf numFmtId="1" fontId="1" fillId="8" borderId="13" xfId="0" applyNumberFormat="1" applyFont="1" applyFill="1" applyBorder="1" applyAlignment="1">
      <alignment horizontal="center" vertical="center" wrapText="1"/>
    </xf>
    <xf numFmtId="1" fontId="12" fillId="8" borderId="13" xfId="0" applyNumberFormat="1" applyFont="1" applyFill="1" applyBorder="1" applyAlignment="1">
      <alignment horizontal="center" vertical="center" wrapText="1"/>
    </xf>
    <xf numFmtId="1" fontId="1" fillId="8" borderId="13" xfId="0" applyNumberFormat="1" applyFont="1" applyFill="1" applyBorder="1" applyAlignment="1">
      <alignment horizontal="center" vertical="center" textRotation="180" wrapText="1"/>
    </xf>
    <xf numFmtId="9" fontId="1" fillId="8" borderId="13" xfId="5" applyFont="1" applyFill="1" applyBorder="1" applyAlignment="1">
      <alignment horizontal="center" vertical="center" wrapText="1"/>
    </xf>
    <xf numFmtId="169" fontId="1" fillId="8" borderId="13" xfId="0" applyNumberFormat="1" applyFont="1" applyFill="1" applyBorder="1" applyAlignment="1">
      <alignment horizontal="center" vertical="center" wrapText="1"/>
    </xf>
    <xf numFmtId="169" fontId="12" fillId="8" borderId="13" xfId="0" applyNumberFormat="1" applyFont="1" applyFill="1" applyBorder="1" applyAlignment="1">
      <alignment horizontal="center" vertical="center" wrapText="1"/>
    </xf>
    <xf numFmtId="3" fontId="1" fillId="8" borderId="15" xfId="0" applyNumberFormat="1" applyFont="1" applyFill="1" applyBorder="1" applyAlignment="1">
      <alignment horizontal="center" vertical="center" wrapText="1"/>
    </xf>
    <xf numFmtId="0" fontId="3" fillId="11" borderId="7" xfId="0" applyFont="1" applyFill="1" applyBorder="1" applyAlignment="1">
      <alignment horizontal="justify" vertical="center" wrapText="1"/>
    </xf>
    <xf numFmtId="0" fontId="3" fillId="11" borderId="2" xfId="0" applyFont="1" applyFill="1" applyBorder="1" applyAlignment="1">
      <alignment vertical="center"/>
    </xf>
    <xf numFmtId="0" fontId="3" fillId="11" borderId="2" xfId="0" applyFont="1" applyFill="1" applyBorder="1" applyAlignment="1">
      <alignment horizontal="justify" vertical="center"/>
    </xf>
    <xf numFmtId="0" fontId="3" fillId="11" borderId="2" xfId="0" applyFont="1" applyFill="1" applyBorder="1" applyAlignment="1">
      <alignment horizontal="center" vertical="center"/>
    </xf>
    <xf numFmtId="0" fontId="13" fillId="11" borderId="2" xfId="0" applyFont="1" applyFill="1" applyBorder="1" applyAlignment="1">
      <alignment horizontal="center" vertical="center"/>
    </xf>
    <xf numFmtId="175" fontId="3" fillId="11" borderId="2" xfId="14" applyNumberFormat="1" applyFont="1" applyFill="1" applyBorder="1" applyAlignment="1">
      <alignment horizontal="justify" vertical="center"/>
    </xf>
    <xf numFmtId="175" fontId="3" fillId="11" borderId="2" xfId="0" applyNumberFormat="1" applyFont="1" applyFill="1" applyBorder="1" applyAlignment="1">
      <alignment horizontal="justify" vertical="center"/>
    </xf>
    <xf numFmtId="42" fontId="3" fillId="11" borderId="2" xfId="16" applyFont="1" applyFill="1" applyBorder="1" applyAlignment="1">
      <alignment horizontal="justify" vertical="center"/>
    </xf>
    <xf numFmtId="42" fontId="11" fillId="11" borderId="2" xfId="16" applyFont="1" applyFill="1" applyBorder="1" applyAlignment="1">
      <alignment horizontal="justify" vertical="center"/>
    </xf>
    <xf numFmtId="1" fontId="3" fillId="11" borderId="2" xfId="0" applyNumberFormat="1" applyFont="1" applyFill="1" applyBorder="1" applyAlignment="1">
      <alignment horizontal="center" vertical="center"/>
    </xf>
    <xf numFmtId="42" fontId="3" fillId="11" borderId="2" xfId="0" applyNumberFormat="1" applyFont="1" applyFill="1" applyBorder="1" applyAlignment="1">
      <alignment horizontal="justify" vertical="center"/>
    </xf>
    <xf numFmtId="42" fontId="13" fillId="11" borderId="2" xfId="0" applyNumberFormat="1" applyFont="1" applyFill="1" applyBorder="1" applyAlignment="1">
      <alignment horizontal="justify" vertical="center"/>
    </xf>
    <xf numFmtId="0" fontId="13" fillId="11" borderId="2" xfId="0" applyFont="1" applyFill="1" applyBorder="1" applyAlignment="1">
      <alignment horizontal="justify" vertical="center"/>
    </xf>
    <xf numFmtId="1" fontId="13" fillId="11" borderId="2" xfId="0" applyNumberFormat="1" applyFont="1" applyFill="1" applyBorder="1" applyAlignment="1">
      <alignment horizontal="justify" vertical="center"/>
    </xf>
    <xf numFmtId="9" fontId="3" fillId="11" borderId="2" xfId="5" applyFont="1" applyFill="1" applyBorder="1" applyAlignment="1">
      <alignment horizontal="justify" vertical="center"/>
    </xf>
    <xf numFmtId="175" fontId="11" fillId="8" borderId="11" xfId="14" applyNumberFormat="1" applyFont="1" applyFill="1" applyBorder="1" applyAlignment="1">
      <alignment horizontal="justify" vertical="center"/>
    </xf>
    <xf numFmtId="10" fontId="1" fillId="2" borderId="11" xfId="5" applyNumberFormat="1"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1" xfId="0" quotePrefix="1" applyFont="1" applyFill="1" applyBorder="1" applyAlignment="1">
      <alignment horizontal="justify" vertical="center" wrapText="1"/>
    </xf>
    <xf numFmtId="0" fontId="13" fillId="8" borderId="0" xfId="0" applyFont="1" applyFill="1" applyBorder="1" applyAlignment="1">
      <alignment horizontal="center" vertical="center"/>
    </xf>
    <xf numFmtId="3" fontId="3" fillId="11" borderId="12" xfId="0" applyNumberFormat="1" applyFont="1" applyFill="1" applyBorder="1" applyAlignment="1">
      <alignment horizontal="justify" vertical="center" wrapText="1"/>
    </xf>
    <xf numFmtId="0" fontId="3" fillId="8" borderId="12" xfId="0" applyFont="1" applyFill="1" applyBorder="1" applyAlignment="1">
      <alignment horizontal="justify" vertical="center" wrapText="1"/>
    </xf>
    <xf numFmtId="0" fontId="13" fillId="8" borderId="12" xfId="0" applyFont="1" applyFill="1" applyBorder="1" applyAlignment="1">
      <alignment horizontal="center" vertical="center"/>
    </xf>
    <xf numFmtId="0" fontId="13" fillId="8" borderId="12" xfId="0" applyFont="1" applyFill="1" applyBorder="1" applyAlignment="1">
      <alignment horizontal="justify" vertical="center"/>
    </xf>
    <xf numFmtId="1" fontId="3" fillId="8" borderId="12" xfId="0" applyNumberFormat="1" applyFont="1" applyFill="1" applyBorder="1" applyAlignment="1">
      <alignment horizontal="center" vertical="center"/>
    </xf>
    <xf numFmtId="1" fontId="13" fillId="8" borderId="12" xfId="0" applyNumberFormat="1" applyFont="1" applyFill="1" applyBorder="1" applyAlignment="1">
      <alignment horizontal="justify" vertical="center"/>
    </xf>
    <xf numFmtId="1" fontId="3" fillId="8" borderId="12" xfId="0" applyNumberFormat="1" applyFont="1" applyFill="1" applyBorder="1" applyAlignment="1">
      <alignment horizontal="justify" vertical="center"/>
    </xf>
    <xf numFmtId="9" fontId="3" fillId="8" borderId="12" xfId="5" applyFont="1" applyFill="1" applyBorder="1" applyAlignment="1">
      <alignment horizontal="justify" vertical="center"/>
    </xf>
    <xf numFmtId="42" fontId="1" fillId="0" borderId="1" xfId="16" applyFont="1" applyFill="1" applyBorder="1" applyAlignment="1">
      <alignment vertical="center"/>
    </xf>
    <xf numFmtId="42" fontId="12" fillId="0" borderId="6" xfId="16" applyFont="1" applyFill="1" applyBorder="1" applyAlignment="1">
      <alignment vertical="center"/>
    </xf>
    <xf numFmtId="0" fontId="1" fillId="2" borderId="10" xfId="0" quotePrefix="1" applyFont="1" applyFill="1" applyBorder="1" applyAlignment="1">
      <alignment horizontal="justify" vertical="center" wrapText="1"/>
    </xf>
    <xf numFmtId="0" fontId="1" fillId="2" borderId="6" xfId="0" quotePrefix="1" applyFont="1" applyFill="1" applyBorder="1" applyAlignment="1">
      <alignment horizontal="justify" vertical="center" wrapText="1"/>
    </xf>
    <xf numFmtId="42" fontId="12" fillId="0" borderId="1" xfId="16" applyFont="1" applyFill="1" applyBorder="1" applyAlignment="1">
      <alignment vertical="center"/>
    </xf>
    <xf numFmtId="42" fontId="1" fillId="0" borderId="2" xfId="16" applyFont="1" applyFill="1" applyBorder="1" applyAlignment="1">
      <alignment horizontal="center" vertical="center"/>
    </xf>
    <xf numFmtId="1" fontId="1" fillId="0" borderId="1" xfId="0" quotePrefix="1" applyNumberFormat="1" applyFont="1" applyFill="1" applyBorder="1" applyAlignment="1">
      <alignment horizontal="center" vertical="center" wrapText="1"/>
    </xf>
    <xf numFmtId="3" fontId="1" fillId="2" borderId="1" xfId="0" applyNumberFormat="1" applyFont="1" applyFill="1" applyBorder="1" applyAlignment="1">
      <alignment vertical="center" wrapText="1"/>
    </xf>
    <xf numFmtId="0" fontId="3" fillId="8" borderId="0" xfId="0" applyFont="1" applyFill="1" applyBorder="1" applyAlignment="1">
      <alignment horizontal="justify" vertical="center" wrapText="1"/>
    </xf>
    <xf numFmtId="0" fontId="3" fillId="8" borderId="2" xfId="0" applyFont="1" applyFill="1" applyBorder="1" applyAlignment="1">
      <alignment vertical="center"/>
    </xf>
    <xf numFmtId="0" fontId="3" fillId="8" borderId="2" xfId="0" applyFont="1" applyFill="1" applyBorder="1" applyAlignment="1">
      <alignment horizontal="justify" vertical="center"/>
    </xf>
    <xf numFmtId="0" fontId="3" fillId="8" borderId="2" xfId="0" applyFont="1" applyFill="1" applyBorder="1" applyAlignment="1">
      <alignment horizontal="center" vertical="center"/>
    </xf>
    <xf numFmtId="0" fontId="13" fillId="8" borderId="2" xfId="0" applyFont="1" applyFill="1" applyBorder="1" applyAlignment="1">
      <alignment horizontal="center" vertical="center"/>
    </xf>
    <xf numFmtId="175" fontId="11" fillId="8" borderId="2" xfId="14" applyNumberFormat="1" applyFont="1" applyFill="1" applyBorder="1" applyAlignment="1">
      <alignment horizontal="justify" vertical="center"/>
    </xf>
    <xf numFmtId="0" fontId="13" fillId="8" borderId="2" xfId="0" applyFont="1" applyFill="1" applyBorder="1" applyAlignment="1">
      <alignment horizontal="justify" vertical="center"/>
    </xf>
    <xf numFmtId="1" fontId="3" fillId="8" borderId="2" xfId="0" applyNumberFormat="1" applyFont="1" applyFill="1" applyBorder="1" applyAlignment="1">
      <alignment horizontal="center" vertical="center"/>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42" fontId="12" fillId="2" borderId="6" xfId="16" applyFont="1" applyFill="1" applyBorder="1" applyAlignment="1">
      <alignment horizontal="justify" vertical="center" wrapText="1"/>
    </xf>
    <xf numFmtId="42" fontId="12" fillId="0" borderId="6" xfId="16" applyFont="1" applyFill="1" applyBorder="1" applyAlignment="1">
      <alignment horizontal="justify" vertical="center" wrapText="1"/>
    </xf>
    <xf numFmtId="42" fontId="1" fillId="0" borderId="1" xfId="16" applyFont="1" applyFill="1" applyBorder="1" applyAlignment="1">
      <alignment horizontal="center" vertical="center" wrapText="1"/>
    </xf>
    <xf numFmtId="42" fontId="12" fillId="0" borderId="1" xfId="16" applyFont="1" applyFill="1" applyBorder="1" applyAlignment="1">
      <alignment horizontal="center" vertical="center" wrapText="1"/>
    </xf>
    <xf numFmtId="42" fontId="13" fillId="11" borderId="11" xfId="0" applyNumberFormat="1" applyFont="1" applyFill="1" applyBorder="1" applyAlignment="1">
      <alignment horizontal="justify" vertical="center"/>
    </xf>
    <xf numFmtId="42" fontId="1" fillId="0" borderId="1" xfId="16" applyFont="1" applyFill="1" applyBorder="1" applyAlignment="1">
      <alignment horizontal="justify" vertical="center"/>
    </xf>
    <xf numFmtId="42" fontId="12" fillId="0" borderId="1" xfId="16" applyFont="1" applyFill="1" applyBorder="1" applyAlignment="1">
      <alignment horizontal="justify" vertical="center"/>
    </xf>
    <xf numFmtId="0" fontId="12" fillId="0" borderId="0" xfId="0" applyFont="1" applyAlignment="1"/>
    <xf numFmtId="9" fontId="1" fillId="0" borderId="0" xfId="5" applyFont="1" applyAlignment="1"/>
    <xf numFmtId="0" fontId="12" fillId="0" borderId="0" xfId="0" applyFont="1" applyFill="1" applyBorder="1"/>
    <xf numFmtId="1" fontId="1" fillId="0" borderId="0" xfId="0" applyNumberFormat="1" applyFont="1" applyAlignment="1"/>
    <xf numFmtId="167" fontId="1" fillId="0" borderId="0" xfId="9" applyFont="1" applyFill="1" applyProtection="1">
      <protection locked="0"/>
    </xf>
    <xf numFmtId="167" fontId="1" fillId="0" borderId="0" xfId="9" applyFont="1" applyProtection="1">
      <protection locked="0"/>
    </xf>
    <xf numFmtId="167" fontId="3" fillId="0" borderId="0" xfId="9" applyFont="1" applyFill="1" applyProtection="1">
      <protection locked="0"/>
    </xf>
    <xf numFmtId="167" fontId="3" fillId="0" borderId="0" xfId="9" applyFont="1" applyProtection="1">
      <protection locked="0"/>
    </xf>
    <xf numFmtId="167" fontId="13" fillId="3" borderId="1" xfId="9" applyFont="1" applyFill="1" applyBorder="1" applyAlignment="1" applyProtection="1">
      <alignment horizontal="center" vertical="center" wrapText="1"/>
      <protection locked="0"/>
    </xf>
    <xf numFmtId="169" fontId="13" fillId="3" borderId="1" xfId="9" applyNumberFormat="1" applyFont="1" applyFill="1" applyBorder="1" applyAlignment="1" applyProtection="1">
      <alignment horizontal="center" vertical="center" wrapText="1"/>
      <protection locked="0"/>
    </xf>
    <xf numFmtId="167" fontId="3" fillId="6" borderId="4" xfId="9" applyFont="1" applyFill="1" applyBorder="1" applyAlignment="1" applyProtection="1">
      <alignment horizontal="left" vertical="center"/>
      <protection locked="0"/>
    </xf>
    <xf numFmtId="167" fontId="3" fillId="6" borderId="12" xfId="9" applyFont="1" applyFill="1" applyBorder="1" applyAlignment="1" applyProtection="1">
      <alignment horizontal="left" vertical="center"/>
      <protection locked="0"/>
    </xf>
    <xf numFmtId="167" fontId="1" fillId="6" borderId="12" xfId="9" applyFont="1" applyFill="1" applyBorder="1" applyAlignment="1" applyProtection="1">
      <alignment horizontal="left" vertical="center"/>
      <protection locked="0"/>
    </xf>
    <xf numFmtId="167" fontId="12" fillId="6" borderId="12" xfId="9" applyFont="1" applyFill="1" applyBorder="1" applyAlignment="1" applyProtection="1">
      <alignment horizontal="left" vertical="center"/>
      <protection locked="0"/>
    </xf>
    <xf numFmtId="172" fontId="1" fillId="6" borderId="12" xfId="8" applyNumberFormat="1" applyFont="1" applyFill="1" applyBorder="1" applyAlignment="1" applyProtection="1">
      <alignment horizontal="center" vertical="center"/>
      <protection locked="0"/>
    </xf>
    <xf numFmtId="167" fontId="1" fillId="6" borderId="12" xfId="9" applyFont="1" applyFill="1" applyBorder="1" applyAlignment="1" applyProtection="1">
      <alignment horizontal="center" vertical="center"/>
      <protection locked="0"/>
    </xf>
    <xf numFmtId="167" fontId="1" fillId="6" borderId="45" xfId="9" applyFont="1" applyFill="1" applyBorder="1" applyProtection="1">
      <protection locked="0"/>
    </xf>
    <xf numFmtId="167" fontId="3" fillId="6" borderId="8" xfId="9" applyFont="1" applyFill="1" applyBorder="1" applyAlignment="1" applyProtection="1">
      <alignment horizontal="left" vertical="center"/>
      <protection locked="0"/>
    </xf>
    <xf numFmtId="167" fontId="3" fillId="6" borderId="2" xfId="9" applyFont="1" applyFill="1" applyBorder="1" applyAlignment="1" applyProtection="1">
      <alignment horizontal="left" vertical="center"/>
      <protection locked="0"/>
    </xf>
    <xf numFmtId="167" fontId="1" fillId="6" borderId="2" xfId="9" applyFont="1" applyFill="1" applyBorder="1" applyAlignment="1" applyProtection="1">
      <alignment horizontal="left" vertical="center"/>
      <protection locked="0"/>
    </xf>
    <xf numFmtId="167" fontId="12" fillId="6" borderId="2" xfId="9" applyFont="1" applyFill="1" applyBorder="1" applyAlignment="1" applyProtection="1">
      <alignment horizontal="left" vertical="center"/>
      <protection locked="0"/>
    </xf>
    <xf numFmtId="172" fontId="1" fillId="6" borderId="2" xfId="8" applyNumberFormat="1" applyFont="1" applyFill="1" applyBorder="1" applyAlignment="1" applyProtection="1">
      <alignment horizontal="center" vertical="center"/>
      <protection locked="0"/>
    </xf>
    <xf numFmtId="167" fontId="1" fillId="6" borderId="2" xfId="9" applyFont="1" applyFill="1" applyBorder="1" applyAlignment="1" applyProtection="1">
      <alignment horizontal="center" vertical="center"/>
      <protection locked="0"/>
    </xf>
    <xf numFmtId="167" fontId="1" fillId="6" borderId="60" xfId="9" applyFont="1" applyFill="1" applyBorder="1" applyProtection="1">
      <protection locked="0"/>
    </xf>
    <xf numFmtId="167" fontId="1" fillId="2" borderId="0" xfId="9" applyFont="1" applyFill="1" applyProtection="1">
      <protection locked="0"/>
    </xf>
    <xf numFmtId="167" fontId="3" fillId="15" borderId="15" xfId="9" applyFont="1" applyFill="1" applyBorder="1" applyAlignment="1" applyProtection="1">
      <alignment horizontal="left" vertical="center"/>
      <protection locked="0"/>
    </xf>
    <xf numFmtId="167" fontId="3" fillId="15" borderId="0" xfId="9" applyFont="1" applyFill="1" applyBorder="1" applyAlignment="1" applyProtection="1">
      <alignment horizontal="left" vertical="center"/>
      <protection locked="0"/>
    </xf>
    <xf numFmtId="167" fontId="13" fillId="15" borderId="0" xfId="9" applyFont="1" applyFill="1" applyBorder="1" applyAlignment="1" applyProtection="1">
      <alignment horizontal="left" vertical="center"/>
      <protection locked="0"/>
    </xf>
    <xf numFmtId="172" fontId="3" fillId="15" borderId="0" xfId="8" applyNumberFormat="1" applyFont="1" applyFill="1" applyBorder="1" applyAlignment="1" applyProtection="1">
      <alignment horizontal="center" vertical="center"/>
      <protection locked="0"/>
    </xf>
    <xf numFmtId="167" fontId="3" fillId="15" borderId="0" xfId="9" applyFont="1" applyFill="1" applyBorder="1" applyAlignment="1" applyProtection="1">
      <alignment horizontal="center" vertical="center"/>
      <protection locked="0"/>
    </xf>
    <xf numFmtId="167" fontId="1" fillId="15" borderId="47" xfId="9" applyFont="1" applyFill="1" applyBorder="1" applyProtection="1">
      <protection locked="0"/>
    </xf>
    <xf numFmtId="167" fontId="3" fillId="7" borderId="4" xfId="9" applyFont="1" applyFill="1" applyBorder="1" applyAlignment="1" applyProtection="1">
      <alignment vertical="center"/>
      <protection locked="0"/>
    </xf>
    <xf numFmtId="167" fontId="3" fillId="7" borderId="12" xfId="9" applyFont="1" applyFill="1" applyBorder="1" applyAlignment="1" applyProtection="1">
      <alignment vertical="center"/>
      <protection locked="0"/>
    </xf>
    <xf numFmtId="167" fontId="13" fillId="7" borderId="12" xfId="9" applyFont="1" applyFill="1" applyBorder="1" applyAlignment="1" applyProtection="1">
      <alignment vertical="center"/>
      <protection locked="0"/>
    </xf>
    <xf numFmtId="172" fontId="3" fillId="7" borderId="12" xfId="8" applyNumberFormat="1" applyFont="1" applyFill="1" applyBorder="1" applyAlignment="1" applyProtection="1">
      <alignment horizontal="center" vertical="center"/>
      <protection locked="0"/>
    </xf>
    <xf numFmtId="167" fontId="3" fillId="7" borderId="12" xfId="9" applyFont="1" applyFill="1" applyBorder="1" applyAlignment="1" applyProtection="1">
      <alignment horizontal="center" vertical="center"/>
      <protection locked="0"/>
    </xf>
    <xf numFmtId="167" fontId="1" fillId="7" borderId="45" xfId="9" applyFont="1" applyFill="1" applyBorder="1" applyProtection="1">
      <protection locked="0"/>
    </xf>
    <xf numFmtId="167" fontId="3" fillId="7" borderId="12" xfId="9" applyFont="1" applyFill="1" applyBorder="1" applyAlignment="1" applyProtection="1">
      <alignment vertical="center" wrapText="1"/>
      <protection locked="0"/>
    </xf>
    <xf numFmtId="167" fontId="13" fillId="7" borderId="12" xfId="9" applyFont="1" applyFill="1" applyBorder="1" applyAlignment="1" applyProtection="1">
      <alignment vertical="center" wrapText="1"/>
      <protection locked="0"/>
    </xf>
    <xf numFmtId="172" fontId="3" fillId="7" borderId="12" xfId="8" applyNumberFormat="1" applyFont="1" applyFill="1" applyBorder="1" applyAlignment="1" applyProtection="1">
      <alignment horizontal="center" vertical="center" wrapText="1"/>
      <protection locked="0"/>
    </xf>
    <xf numFmtId="167" fontId="3" fillId="7" borderId="12" xfId="9" applyFont="1" applyFill="1" applyBorder="1" applyAlignment="1" applyProtection="1">
      <alignment horizontal="center" vertical="center" wrapText="1"/>
      <protection locked="0"/>
    </xf>
    <xf numFmtId="167" fontId="3" fillId="7" borderId="8" xfId="9" applyFont="1" applyFill="1" applyBorder="1" applyAlignment="1" applyProtection="1">
      <alignment vertical="center" wrapText="1"/>
      <protection locked="0"/>
    </xf>
    <xf numFmtId="167" fontId="3" fillId="7" borderId="2" xfId="9" applyFont="1" applyFill="1" applyBorder="1" applyAlignment="1" applyProtection="1">
      <alignment vertical="center" wrapText="1"/>
      <protection locked="0"/>
    </xf>
    <xf numFmtId="167" fontId="13" fillId="7" borderId="2" xfId="9" applyFont="1" applyFill="1" applyBorder="1" applyAlignment="1" applyProtection="1">
      <alignment vertical="center" wrapText="1"/>
      <protection locked="0"/>
    </xf>
    <xf numFmtId="172" fontId="3" fillId="7" borderId="2" xfId="8" applyNumberFormat="1" applyFont="1" applyFill="1" applyBorder="1" applyAlignment="1" applyProtection="1">
      <alignment horizontal="center" vertical="center" wrapText="1"/>
      <protection locked="0"/>
    </xf>
    <xf numFmtId="167" fontId="3" fillId="7" borderId="2" xfId="9" applyFont="1" applyFill="1" applyBorder="1" applyAlignment="1" applyProtection="1">
      <alignment horizontal="center" vertical="center" wrapText="1"/>
      <protection locked="0"/>
    </xf>
    <xf numFmtId="167" fontId="7" fillId="0" borderId="1" xfId="9" applyFont="1" applyFill="1" applyBorder="1" applyAlignment="1" applyProtection="1">
      <alignment horizontal="justify" vertical="center" wrapText="1"/>
      <protection locked="0"/>
    </xf>
    <xf numFmtId="185" fontId="1" fillId="0" borderId="1" xfId="9" applyNumberFormat="1" applyFont="1" applyBorder="1" applyAlignment="1" applyProtection="1">
      <alignment vertical="center"/>
      <protection locked="0"/>
    </xf>
    <xf numFmtId="172" fontId="1" fillId="0" borderId="1" xfId="8" applyNumberFormat="1" applyFont="1" applyBorder="1" applyAlignment="1" applyProtection="1">
      <alignment vertical="center"/>
      <protection locked="0"/>
    </xf>
    <xf numFmtId="185" fontId="1" fillId="0" borderId="1" xfId="9" applyNumberFormat="1" applyFont="1" applyBorder="1" applyAlignment="1" applyProtection="1">
      <alignment horizontal="right" vertical="center"/>
      <protection locked="0"/>
    </xf>
    <xf numFmtId="185" fontId="1" fillId="0" borderId="1" xfId="9" applyNumberFormat="1" applyFont="1" applyBorder="1" applyAlignment="1" applyProtection="1">
      <alignment horizontal="center" vertical="center"/>
      <protection locked="0"/>
    </xf>
    <xf numFmtId="185" fontId="1" fillId="0" borderId="1" xfId="9" applyNumberFormat="1" applyFont="1" applyBorder="1" applyAlignment="1" applyProtection="1">
      <alignment vertical="center" wrapText="1"/>
      <protection locked="0"/>
    </xf>
    <xf numFmtId="14" fontId="1" fillId="0" borderId="1" xfId="9" applyNumberFormat="1" applyFont="1" applyBorder="1" applyAlignment="1" applyProtection="1">
      <alignment horizontal="center" vertical="center"/>
      <protection locked="0"/>
    </xf>
    <xf numFmtId="14" fontId="12" fillId="0" borderId="1" xfId="9" applyNumberFormat="1" applyFont="1" applyBorder="1" applyAlignment="1" applyProtection="1">
      <alignment horizontal="center" vertical="center"/>
      <protection locked="0"/>
    </xf>
    <xf numFmtId="172" fontId="1" fillId="0" borderId="6" xfId="8" applyNumberFormat="1" applyFont="1" applyBorder="1" applyAlignment="1" applyProtection="1">
      <alignment vertical="center"/>
      <protection locked="0"/>
    </xf>
    <xf numFmtId="185" fontId="1" fillId="0" borderId="6" xfId="9" applyNumberFormat="1" applyFont="1" applyBorder="1" applyAlignment="1" applyProtection="1">
      <alignment vertical="center"/>
      <protection locked="0"/>
    </xf>
    <xf numFmtId="185" fontId="1" fillId="0" borderId="6" xfId="9" applyNumberFormat="1" applyFont="1" applyBorder="1" applyAlignment="1" applyProtection="1">
      <alignment vertical="center" wrapText="1"/>
      <protection locked="0"/>
    </xf>
    <xf numFmtId="185" fontId="1" fillId="0" borderId="13" xfId="9" applyNumberFormat="1" applyFont="1" applyBorder="1" applyAlignment="1" applyProtection="1">
      <alignment vertical="center"/>
      <protection locked="0"/>
    </xf>
    <xf numFmtId="185" fontId="1" fillId="0" borderId="13" xfId="9" applyNumberFormat="1" applyFont="1" applyBorder="1" applyAlignment="1" applyProtection="1">
      <alignment horizontal="left" vertical="center" wrapText="1"/>
      <protection locked="0"/>
    </xf>
    <xf numFmtId="167" fontId="3" fillId="7" borderId="4" xfId="9" applyFont="1" applyFill="1" applyBorder="1" applyAlignment="1" applyProtection="1">
      <alignment horizontal="left" vertical="center"/>
      <protection locked="0"/>
    </xf>
    <xf numFmtId="167" fontId="3" fillId="7" borderId="12" xfId="9" applyFont="1" applyFill="1" applyBorder="1" applyAlignment="1" applyProtection="1">
      <alignment horizontal="left" vertical="center"/>
      <protection locked="0"/>
    </xf>
    <xf numFmtId="167" fontId="13" fillId="7" borderId="12" xfId="9" applyFont="1" applyFill="1" applyBorder="1" applyAlignment="1" applyProtection="1">
      <alignment horizontal="left" vertical="center"/>
      <protection locked="0"/>
    </xf>
    <xf numFmtId="167" fontId="3" fillId="7" borderId="15" xfId="9" applyFont="1" applyFill="1" applyBorder="1" applyAlignment="1" applyProtection="1">
      <alignment horizontal="left" vertical="center"/>
      <protection locked="0"/>
    </xf>
    <xf numFmtId="167" fontId="3" fillId="7" borderId="0" xfId="9" applyFont="1" applyFill="1" applyBorder="1" applyAlignment="1" applyProtection="1">
      <alignment horizontal="left" vertical="center"/>
      <protection locked="0"/>
    </xf>
    <xf numFmtId="167" fontId="3" fillId="7" borderId="2" xfId="9" applyFont="1" applyFill="1" applyBorder="1" applyAlignment="1" applyProtection="1">
      <alignment horizontal="left" vertical="center"/>
      <protection locked="0"/>
    </xf>
    <xf numFmtId="167" fontId="13" fillId="7" borderId="2" xfId="9" applyFont="1" applyFill="1" applyBorder="1" applyAlignment="1" applyProtection="1">
      <alignment horizontal="left" vertical="center"/>
      <protection locked="0"/>
    </xf>
    <xf numFmtId="172" fontId="3" fillId="7" borderId="0" xfId="8" applyNumberFormat="1" applyFont="1" applyFill="1" applyBorder="1" applyAlignment="1" applyProtection="1">
      <alignment horizontal="center" vertical="center"/>
      <protection locked="0"/>
    </xf>
    <xf numFmtId="167" fontId="3" fillId="7" borderId="0" xfId="9" applyFont="1" applyFill="1" applyBorder="1" applyAlignment="1" applyProtection="1">
      <alignment horizontal="center" vertical="center"/>
      <protection locked="0"/>
    </xf>
    <xf numFmtId="167" fontId="13" fillId="7" borderId="0" xfId="9" applyFont="1" applyFill="1" applyBorder="1" applyAlignment="1" applyProtection="1">
      <alignment horizontal="left" vertical="center"/>
      <protection locked="0"/>
    </xf>
    <xf numFmtId="185" fontId="3" fillId="0" borderId="4" xfId="9" applyNumberFormat="1" applyFont="1" applyFill="1" applyBorder="1" applyAlignment="1" applyProtection="1">
      <alignment horizontal="center" vertical="center" wrapText="1"/>
      <protection locked="0"/>
    </xf>
    <xf numFmtId="167" fontId="3" fillId="0" borderId="12" xfId="9" applyFont="1" applyFill="1" applyBorder="1" applyAlignment="1" applyProtection="1">
      <alignment horizontal="left" vertical="center"/>
      <protection locked="0"/>
    </xf>
    <xf numFmtId="167" fontId="3" fillId="0" borderId="5" xfId="9" applyFont="1" applyFill="1" applyBorder="1" applyAlignment="1" applyProtection="1">
      <alignment horizontal="left" vertical="center"/>
      <protection locked="0"/>
    </xf>
    <xf numFmtId="167" fontId="7" fillId="0" borderId="1" xfId="9" applyFont="1" applyFill="1" applyBorder="1" applyAlignment="1" applyProtection="1">
      <alignment vertical="center" wrapText="1"/>
      <protection locked="0"/>
    </xf>
    <xf numFmtId="185" fontId="1" fillId="2" borderId="4" xfId="9" applyNumberFormat="1" applyFont="1" applyFill="1" applyBorder="1" applyAlignment="1" applyProtection="1">
      <alignment vertical="center"/>
      <protection locked="0"/>
    </xf>
    <xf numFmtId="185" fontId="1" fillId="2" borderId="6" xfId="9" applyNumberFormat="1" applyFont="1" applyFill="1" applyBorder="1" applyAlignment="1" applyProtection="1">
      <alignment vertical="center"/>
      <protection locked="0"/>
    </xf>
    <xf numFmtId="167" fontId="1" fillId="0" borderId="0" xfId="9" applyFont="1" applyFill="1" applyBorder="1" applyProtection="1">
      <protection locked="0"/>
    </xf>
    <xf numFmtId="167" fontId="1" fillId="0" borderId="1" xfId="9" applyFont="1" applyFill="1" applyBorder="1" applyProtection="1">
      <protection locked="0"/>
    </xf>
    <xf numFmtId="185" fontId="3" fillId="0" borderId="15" xfId="9" applyNumberFormat="1" applyFont="1" applyFill="1" applyBorder="1" applyAlignment="1" applyProtection="1">
      <alignment horizontal="center" vertical="center" wrapText="1"/>
      <protection locked="0"/>
    </xf>
    <xf numFmtId="167" fontId="3" fillId="0" borderId="0" xfId="9" applyFont="1" applyFill="1" applyBorder="1" applyAlignment="1" applyProtection="1">
      <alignment horizontal="left" vertical="center"/>
      <protection locked="0"/>
    </xf>
    <xf numFmtId="167" fontId="3" fillId="0" borderId="14" xfId="9" applyFont="1" applyFill="1" applyBorder="1" applyAlignment="1" applyProtection="1">
      <alignment horizontal="left" vertical="center"/>
      <protection locked="0"/>
    </xf>
    <xf numFmtId="185" fontId="1" fillId="2" borderId="15" xfId="9" applyNumberFormat="1" applyFont="1" applyFill="1" applyBorder="1" applyAlignment="1" applyProtection="1">
      <alignment vertical="center"/>
      <protection locked="0"/>
    </xf>
    <xf numFmtId="185" fontId="1" fillId="2" borderId="13" xfId="9" applyNumberFormat="1" applyFont="1" applyFill="1" applyBorder="1" applyAlignment="1" applyProtection="1">
      <alignment vertical="center"/>
      <protection locked="0"/>
    </xf>
    <xf numFmtId="167" fontId="1" fillId="0" borderId="6" xfId="9" applyFont="1" applyFill="1" applyBorder="1" applyAlignment="1" applyProtection="1">
      <alignment horizontal="left" vertical="center" wrapText="1"/>
      <protection locked="0"/>
    </xf>
    <xf numFmtId="167" fontId="1" fillId="2" borderId="15" xfId="9" applyFont="1" applyFill="1" applyBorder="1" applyProtection="1">
      <protection locked="0"/>
    </xf>
    <xf numFmtId="172" fontId="1" fillId="2" borderId="13" xfId="8" applyNumberFormat="1" applyFont="1" applyFill="1" applyBorder="1" applyAlignment="1" applyProtection="1">
      <alignment horizontal="center"/>
      <protection locked="0"/>
    </xf>
    <xf numFmtId="167" fontId="1" fillId="2" borderId="13" xfId="9" applyFont="1" applyFill="1" applyBorder="1" applyProtection="1">
      <protection locked="0"/>
    </xf>
    <xf numFmtId="167" fontId="1" fillId="2" borderId="8" xfId="9" applyFont="1" applyFill="1" applyBorder="1" applyProtection="1">
      <protection locked="0"/>
    </xf>
    <xf numFmtId="172" fontId="1" fillId="2" borderId="10" xfId="8" applyNumberFormat="1" applyFont="1" applyFill="1" applyBorder="1" applyAlignment="1" applyProtection="1">
      <alignment horizontal="center"/>
      <protection locked="0"/>
    </xf>
    <xf numFmtId="167" fontId="1" fillId="2" borderId="10" xfId="9" applyFont="1" applyFill="1" applyBorder="1" applyProtection="1">
      <protection locked="0"/>
    </xf>
    <xf numFmtId="167" fontId="1" fillId="0" borderId="5" xfId="9" applyFont="1" applyFill="1" applyBorder="1" applyProtection="1">
      <protection locked="0"/>
    </xf>
    <xf numFmtId="167" fontId="1" fillId="0" borderId="6" xfId="9" applyFont="1" applyFill="1" applyBorder="1" applyProtection="1">
      <protection locked="0"/>
    </xf>
    <xf numFmtId="167" fontId="1" fillId="0" borderId="3" xfId="9" applyFont="1" applyFill="1" applyBorder="1" applyProtection="1">
      <protection locked="0"/>
    </xf>
    <xf numFmtId="185" fontId="1" fillId="2" borderId="13" xfId="9" applyNumberFormat="1" applyFont="1" applyFill="1" applyBorder="1" applyAlignment="1" applyProtection="1">
      <alignment vertical="center" textRotation="180"/>
      <protection locked="0"/>
    </xf>
    <xf numFmtId="185" fontId="1" fillId="2" borderId="1" xfId="9" applyNumberFormat="1" applyFont="1" applyFill="1" applyBorder="1" applyAlignment="1" applyProtection="1">
      <alignment vertical="center"/>
      <protection locked="0"/>
    </xf>
    <xf numFmtId="185" fontId="1" fillId="2" borderId="1" xfId="9" applyNumberFormat="1" applyFont="1" applyFill="1" applyBorder="1" applyAlignment="1" applyProtection="1">
      <alignment vertical="center" wrapText="1"/>
      <protection locked="0"/>
    </xf>
    <xf numFmtId="14" fontId="1" fillId="2" borderId="1" xfId="9" applyNumberFormat="1" applyFont="1" applyFill="1" applyBorder="1" applyAlignment="1" applyProtection="1">
      <alignment horizontal="center" vertical="center"/>
      <protection locked="0"/>
    </xf>
    <xf numFmtId="185" fontId="1" fillId="2" borderId="10" xfId="9" applyNumberFormat="1" applyFont="1" applyFill="1" applyBorder="1" applyAlignment="1" applyProtection="1">
      <alignment vertical="center" textRotation="180"/>
      <protection locked="0"/>
    </xf>
    <xf numFmtId="167" fontId="3" fillId="15" borderId="4" xfId="9" applyFont="1" applyFill="1" applyBorder="1" applyAlignment="1" applyProtection="1">
      <alignment vertical="center"/>
      <protection locked="0"/>
    </xf>
    <xf numFmtId="167" fontId="3" fillId="15" borderId="12" xfId="9" applyFont="1" applyFill="1" applyBorder="1" applyAlignment="1" applyProtection="1">
      <alignment vertical="center"/>
      <protection locked="0"/>
    </xf>
    <xf numFmtId="167" fontId="13" fillId="15" borderId="12" xfId="9" applyFont="1" applyFill="1" applyBorder="1" applyAlignment="1" applyProtection="1">
      <alignment vertical="center"/>
      <protection locked="0"/>
    </xf>
    <xf numFmtId="167" fontId="3" fillId="15" borderId="0" xfId="9" applyFont="1" applyFill="1" applyBorder="1" applyAlignment="1" applyProtection="1">
      <alignment vertical="center"/>
      <protection locked="0"/>
    </xf>
    <xf numFmtId="167" fontId="13" fillId="15" borderId="0" xfId="9" applyFont="1" applyFill="1" applyBorder="1" applyAlignment="1" applyProtection="1">
      <alignment vertical="center"/>
      <protection locked="0"/>
    </xf>
    <xf numFmtId="167" fontId="3" fillId="15" borderId="15" xfId="9" applyFont="1" applyFill="1" applyBorder="1" applyAlignment="1" applyProtection="1">
      <alignment vertical="center"/>
      <protection locked="0"/>
    </xf>
    <xf numFmtId="167" fontId="3" fillId="15" borderId="2" xfId="9" applyFont="1" applyFill="1" applyBorder="1" applyAlignment="1" applyProtection="1">
      <alignment vertical="center"/>
      <protection locked="0"/>
    </xf>
    <xf numFmtId="167" fontId="13" fillId="15" borderId="2" xfId="9" applyFont="1" applyFill="1" applyBorder="1" applyAlignment="1" applyProtection="1">
      <alignment vertical="center"/>
      <protection locked="0"/>
    </xf>
    <xf numFmtId="172" fontId="3" fillId="15" borderId="2" xfId="8" applyNumberFormat="1" applyFont="1" applyFill="1" applyBorder="1" applyAlignment="1" applyProtection="1">
      <alignment horizontal="center" vertical="center"/>
      <protection locked="0"/>
    </xf>
    <xf numFmtId="167" fontId="3" fillId="15" borderId="2" xfId="9" applyFont="1" applyFill="1" applyBorder="1" applyAlignment="1" applyProtection="1">
      <alignment horizontal="center" vertical="center"/>
      <protection locked="0"/>
    </xf>
    <xf numFmtId="1" fontId="3" fillId="8" borderId="3" xfId="9" applyNumberFormat="1" applyFont="1" applyFill="1" applyBorder="1" applyAlignment="1" applyProtection="1">
      <alignment horizontal="center" vertical="center"/>
      <protection locked="0"/>
    </xf>
    <xf numFmtId="167" fontId="3" fillId="8" borderId="11" xfId="9" applyFont="1" applyFill="1" applyBorder="1" applyAlignment="1" applyProtection="1">
      <alignment vertical="center"/>
      <protection locked="0"/>
    </xf>
    <xf numFmtId="167" fontId="3" fillId="8" borderId="11" xfId="9" applyFont="1" applyFill="1" applyBorder="1" applyAlignment="1" applyProtection="1">
      <alignment vertical="center" wrapText="1"/>
      <protection locked="0"/>
    </xf>
    <xf numFmtId="167" fontId="13" fillId="8" borderId="11" xfId="9" applyFont="1" applyFill="1" applyBorder="1" applyAlignment="1" applyProtection="1">
      <alignment vertical="center" wrapText="1"/>
      <protection locked="0"/>
    </xf>
    <xf numFmtId="172" fontId="3" fillId="8" borderId="11" xfId="8" applyNumberFormat="1" applyFont="1" applyFill="1" applyBorder="1" applyAlignment="1" applyProtection="1">
      <alignment horizontal="center" vertical="center" wrapText="1"/>
      <protection locked="0"/>
    </xf>
    <xf numFmtId="167" fontId="3" fillId="8" borderId="11" xfId="9" applyFont="1" applyFill="1" applyBorder="1" applyAlignment="1" applyProtection="1">
      <alignment horizontal="center" vertical="center" wrapText="1"/>
      <protection locked="0"/>
    </xf>
    <xf numFmtId="167" fontId="1" fillId="8" borderId="50" xfId="9" applyFont="1" applyFill="1" applyBorder="1" applyAlignment="1" applyProtection="1">
      <alignment vertical="center" wrapText="1"/>
      <protection locked="0"/>
    </xf>
    <xf numFmtId="185" fontId="1" fillId="0" borderId="0" xfId="9" applyNumberFormat="1" applyFont="1" applyFill="1" applyBorder="1" applyAlignment="1" applyProtection="1">
      <alignment vertical="center" wrapText="1"/>
      <protection locked="0"/>
    </xf>
    <xf numFmtId="167" fontId="1" fillId="0" borderId="10" xfId="9" applyFont="1" applyFill="1" applyBorder="1" applyAlignment="1" applyProtection="1">
      <alignment horizontal="left" vertical="center" wrapText="1"/>
      <protection locked="0"/>
    </xf>
    <xf numFmtId="9" fontId="1" fillId="0" borderId="10" xfId="5" applyFont="1" applyFill="1" applyBorder="1" applyAlignment="1" applyProtection="1">
      <alignment horizontal="center" vertical="center" wrapText="1"/>
      <protection locked="0"/>
    </xf>
    <xf numFmtId="1" fontId="1" fillId="0" borderId="10" xfId="9" applyNumberFormat="1" applyFont="1" applyFill="1" applyBorder="1" applyAlignment="1" applyProtection="1">
      <alignment horizontal="left" vertical="center" wrapText="1"/>
      <protection locked="0"/>
    </xf>
    <xf numFmtId="1" fontId="12" fillId="0" borderId="10" xfId="9" applyNumberFormat="1" applyFont="1" applyFill="1" applyBorder="1" applyAlignment="1" applyProtection="1">
      <alignment horizontal="left" vertical="center" wrapText="1"/>
      <protection locked="0"/>
    </xf>
    <xf numFmtId="14" fontId="1" fillId="0" borderId="13" xfId="9" applyNumberFormat="1" applyFont="1" applyFill="1" applyBorder="1" applyAlignment="1" applyProtection="1">
      <alignment horizontal="center" vertical="center" wrapText="1"/>
      <protection locked="0"/>
    </xf>
    <xf numFmtId="14" fontId="12" fillId="0" borderId="13" xfId="9" applyNumberFormat="1" applyFont="1" applyFill="1" applyBorder="1" applyAlignment="1" applyProtection="1">
      <alignment horizontal="center" vertical="center" wrapText="1"/>
      <protection locked="0"/>
    </xf>
    <xf numFmtId="14" fontId="12" fillId="0" borderId="15" xfId="9" applyNumberFormat="1" applyFont="1" applyFill="1" applyBorder="1" applyAlignment="1" applyProtection="1">
      <alignment horizontal="center" vertical="center" wrapText="1"/>
      <protection locked="0"/>
    </xf>
    <xf numFmtId="167" fontId="1" fillId="0" borderId="10" xfId="9" applyFont="1" applyFill="1" applyBorder="1" applyProtection="1">
      <protection locked="0"/>
    </xf>
    <xf numFmtId="9" fontId="1" fillId="0" borderId="1" xfId="5"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170" fontId="12" fillId="0" borderId="1" xfId="9" applyNumberFormat="1" applyFont="1" applyFill="1" applyBorder="1" applyAlignment="1" applyProtection="1">
      <alignment horizontal="center" vertical="center" wrapText="1"/>
      <protection locked="0"/>
    </xf>
    <xf numFmtId="185" fontId="1" fillId="0" borderId="0" xfId="9" applyNumberFormat="1" applyFont="1" applyFill="1" applyBorder="1" applyAlignment="1" applyProtection="1">
      <alignment horizontal="center" vertical="center" wrapText="1"/>
      <protection locked="0"/>
    </xf>
    <xf numFmtId="185" fontId="1" fillId="2" borderId="0" xfId="9" applyNumberFormat="1" applyFont="1" applyFill="1" applyBorder="1" applyAlignment="1" applyProtection="1">
      <alignment vertical="center" wrapText="1"/>
      <protection locked="0"/>
    </xf>
    <xf numFmtId="185" fontId="1" fillId="2" borderId="14" xfId="9" applyNumberFormat="1" applyFont="1" applyFill="1" applyBorder="1" applyAlignment="1" applyProtection="1">
      <alignment vertical="center" wrapText="1"/>
      <protection locked="0"/>
    </xf>
    <xf numFmtId="172" fontId="1" fillId="0" borderId="1" xfId="8" applyNumberFormat="1" applyFont="1" applyFill="1" applyBorder="1" applyAlignment="1" applyProtection="1">
      <alignment horizontal="center" vertical="center" wrapText="1"/>
      <protection locked="0"/>
    </xf>
    <xf numFmtId="14" fontId="7" fillId="2" borderId="1" xfId="9" applyNumberFormat="1" applyFont="1" applyFill="1" applyBorder="1" applyAlignment="1" applyProtection="1">
      <alignment horizontal="center" vertical="center"/>
      <protection locked="0"/>
    </xf>
    <xf numFmtId="167" fontId="3" fillId="7" borderId="45" xfId="9" applyFont="1" applyFill="1" applyBorder="1" applyAlignment="1" applyProtection="1">
      <alignment vertical="center"/>
      <protection locked="0"/>
    </xf>
    <xf numFmtId="167" fontId="3" fillId="7" borderId="8" xfId="9" applyFont="1" applyFill="1" applyBorder="1" applyAlignment="1" applyProtection="1">
      <alignment vertical="center"/>
      <protection locked="0"/>
    </xf>
    <xf numFmtId="167" fontId="3" fillId="7" borderId="2" xfId="9" applyFont="1" applyFill="1" applyBorder="1" applyAlignment="1" applyProtection="1">
      <alignment vertical="center"/>
      <protection locked="0"/>
    </xf>
    <xf numFmtId="167" fontId="13" fillId="7" borderId="2" xfId="9" applyFont="1" applyFill="1" applyBorder="1" applyAlignment="1" applyProtection="1">
      <alignment vertical="center"/>
      <protection locked="0"/>
    </xf>
    <xf numFmtId="172" fontId="3" fillId="7" borderId="2" xfId="8" applyNumberFormat="1" applyFont="1" applyFill="1" applyBorder="1" applyAlignment="1" applyProtection="1">
      <alignment horizontal="center" vertical="center"/>
      <protection locked="0"/>
    </xf>
    <xf numFmtId="167" fontId="3" fillId="7" borderId="2" xfId="9" applyFont="1" applyFill="1" applyBorder="1" applyAlignment="1" applyProtection="1">
      <alignment horizontal="center" vertical="center"/>
      <protection locked="0"/>
    </xf>
    <xf numFmtId="167" fontId="3" fillId="7" borderId="60" xfId="9" applyFont="1" applyFill="1" applyBorder="1" applyAlignment="1" applyProtection="1">
      <alignment vertical="center"/>
      <protection locked="0"/>
    </xf>
    <xf numFmtId="167" fontId="1" fillId="2" borderId="13" xfId="9" applyFont="1" applyFill="1" applyBorder="1" applyAlignment="1" applyProtection="1">
      <alignment vertical="center" wrapText="1"/>
      <protection locked="0"/>
    </xf>
    <xf numFmtId="172" fontId="1" fillId="0" borderId="10" xfId="8" applyNumberFormat="1" applyFont="1" applyBorder="1" applyAlignment="1" applyProtection="1">
      <alignment vertical="center"/>
      <protection locked="0"/>
    </xf>
    <xf numFmtId="185" fontId="1" fillId="0" borderId="10" xfId="9" applyNumberFormat="1" applyFont="1" applyBorder="1" applyAlignment="1" applyProtection="1">
      <alignment vertical="center" wrapText="1"/>
      <protection locked="0"/>
    </xf>
    <xf numFmtId="172" fontId="1" fillId="0" borderId="13" xfId="8" applyNumberFormat="1" applyFont="1" applyBorder="1" applyAlignment="1" applyProtection="1">
      <alignment vertical="center"/>
      <protection locked="0"/>
    </xf>
    <xf numFmtId="185" fontId="1" fillId="0" borderId="13" xfId="9" applyNumberFormat="1" applyFont="1" applyBorder="1" applyAlignment="1" applyProtection="1">
      <alignment vertical="center" wrapText="1"/>
      <protection locked="0"/>
    </xf>
    <xf numFmtId="185" fontId="1" fillId="0" borderId="14" xfId="9" applyNumberFormat="1" applyFont="1" applyFill="1" applyBorder="1" applyAlignment="1" applyProtection="1">
      <alignment vertical="center" wrapText="1"/>
      <protection locked="0"/>
    </xf>
    <xf numFmtId="167" fontId="3" fillId="7" borderId="45" xfId="9" applyFont="1" applyFill="1" applyBorder="1" applyAlignment="1" applyProtection="1">
      <alignment horizontal="left" vertical="center"/>
      <protection locked="0"/>
    </xf>
    <xf numFmtId="167" fontId="3" fillId="7" borderId="8" xfId="9" applyFont="1" applyFill="1" applyBorder="1" applyAlignment="1" applyProtection="1">
      <alignment horizontal="left" vertical="center"/>
      <protection locked="0"/>
    </xf>
    <xf numFmtId="167" fontId="3" fillId="7" borderId="60" xfId="9" applyFont="1" applyFill="1" applyBorder="1" applyAlignment="1" applyProtection="1">
      <alignment horizontal="left" vertical="center"/>
      <protection locked="0"/>
    </xf>
    <xf numFmtId="172" fontId="1" fillId="0" borderId="1" xfId="8" applyNumberFormat="1" applyFont="1" applyBorder="1" applyAlignment="1" applyProtection="1">
      <alignment horizontal="center" vertical="center"/>
      <protection locked="0"/>
    </xf>
    <xf numFmtId="49" fontId="1" fillId="0" borderId="10" xfId="9" applyNumberFormat="1" applyFont="1" applyBorder="1" applyAlignment="1" applyProtection="1">
      <alignment vertical="center" wrapText="1"/>
      <protection locked="0"/>
    </xf>
    <xf numFmtId="49" fontId="1" fillId="0" borderId="10" xfId="9" applyNumberFormat="1" applyFont="1" applyBorder="1" applyAlignment="1" applyProtection="1">
      <alignment vertical="center"/>
      <protection locked="0"/>
    </xf>
    <xf numFmtId="0" fontId="1" fillId="0" borderId="6" xfId="0" applyFont="1" applyFill="1" applyBorder="1" applyAlignment="1" applyProtection="1">
      <alignment horizontal="justify" vertical="center" wrapText="1"/>
      <protection locked="0"/>
    </xf>
    <xf numFmtId="167" fontId="1" fillId="0" borderId="1" xfId="9" applyFont="1" applyFill="1" applyBorder="1" applyAlignment="1" applyProtection="1">
      <alignment vertical="center" wrapText="1"/>
      <protection locked="0"/>
    </xf>
    <xf numFmtId="9" fontId="1" fillId="0" borderId="10" xfId="5" applyFont="1" applyBorder="1" applyAlignment="1" applyProtection="1">
      <alignment vertical="center"/>
      <protection locked="0"/>
    </xf>
    <xf numFmtId="167" fontId="1" fillId="0" borderId="18" xfId="9" applyFont="1" applyFill="1" applyBorder="1" applyAlignment="1" applyProtection="1">
      <alignment horizontal="justify" vertical="center" wrapText="1"/>
      <protection locked="0"/>
    </xf>
    <xf numFmtId="0" fontId="1" fillId="0" borderId="18" xfId="0" applyFont="1" applyFill="1" applyBorder="1" applyAlignment="1" applyProtection="1">
      <alignment horizontal="justify" vertical="center" wrapText="1"/>
      <protection locked="0"/>
    </xf>
    <xf numFmtId="167" fontId="1" fillId="0" borderId="18" xfId="9" applyFont="1" applyFill="1" applyBorder="1" applyAlignment="1" applyProtection="1">
      <alignment vertical="center" wrapText="1"/>
      <protection locked="0"/>
    </xf>
    <xf numFmtId="172" fontId="1" fillId="0" borderId="17" xfId="8" applyNumberFormat="1" applyFont="1" applyFill="1" applyBorder="1" applyAlignment="1" applyProtection="1">
      <alignment horizontal="center" vertical="center" wrapText="1"/>
      <protection locked="0"/>
    </xf>
    <xf numFmtId="185" fontId="1" fillId="0" borderId="18" xfId="9" applyNumberFormat="1" applyFont="1" applyFill="1" applyBorder="1" applyAlignment="1" applyProtection="1">
      <alignment horizontal="center" vertical="center" wrapText="1"/>
      <protection locked="0"/>
    </xf>
    <xf numFmtId="14" fontId="1" fillId="0" borderId="18" xfId="9" applyNumberFormat="1" applyFont="1" applyFill="1" applyBorder="1" applyAlignment="1" applyProtection="1">
      <alignment horizontal="center" vertical="center"/>
      <protection locked="0"/>
    </xf>
    <xf numFmtId="14" fontId="12" fillId="0" borderId="18" xfId="9" applyNumberFormat="1" applyFont="1" applyFill="1" applyBorder="1" applyAlignment="1" applyProtection="1">
      <alignment horizontal="center" vertical="center"/>
      <protection locked="0"/>
    </xf>
    <xf numFmtId="170" fontId="3" fillId="2" borderId="48" xfId="9" applyNumberFormat="1" applyFont="1" applyFill="1" applyBorder="1" applyAlignment="1" applyProtection="1">
      <alignment vertical="center"/>
      <protection locked="0"/>
    </xf>
    <xf numFmtId="0" fontId="7" fillId="0" borderId="40" xfId="0" applyFont="1" applyFill="1" applyBorder="1" applyAlignment="1" applyProtection="1">
      <alignment vertical="center" wrapText="1"/>
      <protection locked="0"/>
    </xf>
    <xf numFmtId="167" fontId="1" fillId="2" borderId="39" xfId="9" applyFont="1" applyFill="1" applyBorder="1" applyProtection="1">
      <protection locked="0"/>
    </xf>
    <xf numFmtId="167" fontId="1" fillId="2" borderId="41" xfId="9" applyFont="1" applyFill="1" applyBorder="1" applyAlignment="1" applyProtection="1">
      <alignment horizontal="justify" vertical="center"/>
      <protection locked="0"/>
    </xf>
    <xf numFmtId="170" fontId="13" fillId="2" borderId="40" xfId="9" applyNumberFormat="1" applyFont="1" applyFill="1" applyBorder="1" applyAlignment="1" applyProtection="1">
      <alignment vertical="center"/>
      <protection locked="0"/>
    </xf>
    <xf numFmtId="0" fontId="1" fillId="2" borderId="40" xfId="9" applyNumberFormat="1" applyFont="1" applyFill="1" applyBorder="1" applyAlignment="1" applyProtection="1">
      <alignment horizontal="center" vertical="center"/>
      <protection locked="0"/>
    </xf>
    <xf numFmtId="167" fontId="1" fillId="0" borderId="39" xfId="9" applyFont="1" applyBorder="1" applyProtection="1">
      <protection locked="0"/>
    </xf>
    <xf numFmtId="167" fontId="12" fillId="0" borderId="39" xfId="9" applyFont="1" applyBorder="1" applyProtection="1">
      <protection locked="0"/>
    </xf>
    <xf numFmtId="167" fontId="1" fillId="0" borderId="39" xfId="9" applyFont="1" applyFill="1" applyBorder="1" applyAlignment="1" applyProtection="1">
      <alignment horizontal="right" vertical="center"/>
      <protection locked="0"/>
    </xf>
    <xf numFmtId="167" fontId="12" fillId="0" borderId="39" xfId="9" applyFont="1" applyFill="1" applyBorder="1" applyAlignment="1" applyProtection="1">
      <alignment horizontal="right" vertical="center"/>
      <protection locked="0"/>
    </xf>
    <xf numFmtId="172" fontId="3" fillId="0" borderId="39" xfId="8" applyNumberFormat="1" applyFont="1" applyFill="1" applyBorder="1" applyAlignment="1" applyProtection="1">
      <alignment horizontal="center" vertical="center"/>
      <protection locked="0"/>
    </xf>
    <xf numFmtId="167" fontId="1" fillId="0" borderId="39" xfId="9" applyFont="1" applyFill="1" applyBorder="1" applyAlignment="1" applyProtection="1">
      <alignment horizontal="center" vertical="center"/>
      <protection locked="0"/>
    </xf>
    <xf numFmtId="169" fontId="1" fillId="0" borderId="39" xfId="9" applyNumberFormat="1" applyFont="1" applyBorder="1" applyAlignment="1" applyProtection="1">
      <alignment horizontal="center"/>
      <protection locked="0"/>
    </xf>
    <xf numFmtId="169" fontId="12" fillId="0" borderId="39" xfId="9" applyNumberFormat="1" applyFont="1" applyBorder="1" applyAlignment="1" applyProtection="1">
      <alignment horizontal="center"/>
      <protection locked="0"/>
    </xf>
    <xf numFmtId="167" fontId="1" fillId="0" borderId="39" xfId="9" applyFont="1" applyBorder="1" applyAlignment="1" applyProtection="1">
      <alignment horizontal="left"/>
      <protection locked="0"/>
    </xf>
    <xf numFmtId="167" fontId="12" fillId="0" borderId="39" xfId="9" applyFont="1" applyBorder="1" applyAlignment="1" applyProtection="1">
      <alignment horizontal="left"/>
      <protection locked="0"/>
    </xf>
    <xf numFmtId="167" fontId="1" fillId="0" borderId="41" xfId="9" applyFont="1" applyFill="1" applyBorder="1" applyProtection="1">
      <protection locked="0"/>
    </xf>
    <xf numFmtId="0" fontId="7" fillId="0" borderId="0" xfId="0" applyFont="1" applyFill="1" applyBorder="1" applyAlignment="1" applyProtection="1">
      <alignment vertical="center" wrapText="1"/>
      <protection locked="0"/>
    </xf>
    <xf numFmtId="167" fontId="1" fillId="0" borderId="0" xfId="9" applyFont="1" applyFill="1" applyAlignment="1" applyProtection="1">
      <alignment horizontal="right" vertical="center"/>
      <protection locked="0"/>
    </xf>
    <xf numFmtId="167" fontId="12" fillId="0" borderId="0" xfId="9" applyFont="1" applyFill="1" applyAlignment="1" applyProtection="1">
      <alignment horizontal="right" vertical="center"/>
      <protection locked="0"/>
    </xf>
    <xf numFmtId="172" fontId="1" fillId="0" borderId="0" xfId="8" applyNumberFormat="1" applyFont="1" applyFill="1" applyAlignment="1" applyProtection="1">
      <alignment horizontal="center" vertical="center"/>
      <protection locked="0"/>
    </xf>
    <xf numFmtId="167" fontId="1" fillId="0" borderId="0" xfId="9" applyFont="1" applyFill="1" applyAlignment="1" applyProtection="1">
      <alignment horizontal="center" vertical="center"/>
      <protection locked="0"/>
    </xf>
    <xf numFmtId="170" fontId="13" fillId="2" borderId="48" xfId="18" applyNumberFormat="1" applyFont="1" applyFill="1" applyBorder="1" applyAlignment="1">
      <alignment vertical="center"/>
    </xf>
    <xf numFmtId="0" fontId="3" fillId="3" borderId="1" xfId="0" applyFont="1" applyFill="1" applyBorder="1" applyAlignment="1">
      <alignment vertical="center" wrapText="1"/>
    </xf>
    <xf numFmtId="0" fontId="13" fillId="3" borderId="1" xfId="0" applyFont="1" applyFill="1" applyBorder="1" applyAlignment="1">
      <alignment vertical="center" wrapText="1"/>
    </xf>
    <xf numFmtId="170" fontId="1" fillId="2" borderId="10" xfId="18" applyNumberFormat="1" applyFont="1" applyFill="1" applyBorder="1" applyAlignment="1">
      <alignment vertical="center" wrapText="1"/>
    </xf>
    <xf numFmtId="42" fontId="12" fillId="2" borderId="10" xfId="18" applyNumberFormat="1" applyFont="1" applyFill="1" applyBorder="1" applyAlignment="1">
      <alignment vertical="center" wrapText="1"/>
    </xf>
    <xf numFmtId="42" fontId="12" fillId="0" borderId="10" xfId="18" applyNumberFormat="1" applyFont="1" applyFill="1" applyBorder="1" applyAlignment="1">
      <alignment vertical="center" wrapText="1"/>
    </xf>
    <xf numFmtId="42" fontId="12" fillId="2" borderId="1" xfId="18" applyNumberFormat="1" applyFont="1" applyFill="1" applyBorder="1" applyAlignment="1">
      <alignment vertical="center"/>
    </xf>
    <xf numFmtId="42" fontId="12" fillId="0" borderId="1" xfId="18" applyNumberFormat="1" applyFont="1" applyFill="1" applyBorder="1" applyAlignment="1">
      <alignment vertical="center"/>
    </xf>
    <xf numFmtId="170" fontId="1" fillId="2" borderId="6" xfId="18" applyNumberFormat="1" applyFont="1" applyFill="1" applyBorder="1" applyAlignment="1">
      <alignment vertical="center"/>
    </xf>
    <xf numFmtId="42" fontId="12" fillId="0" borderId="1" xfId="9" applyNumberFormat="1" applyFont="1" applyFill="1" applyBorder="1" applyAlignment="1">
      <alignment vertical="center"/>
    </xf>
    <xf numFmtId="42" fontId="12" fillId="2" borderId="1" xfId="18" applyNumberFormat="1" applyFont="1" applyFill="1" applyBorder="1" applyAlignment="1">
      <alignment vertical="center" wrapText="1"/>
    </xf>
    <xf numFmtId="42" fontId="12" fillId="0" borderId="1" xfId="18" applyNumberFormat="1" applyFont="1" applyFill="1" applyBorder="1" applyAlignment="1">
      <alignment vertical="center" wrapText="1"/>
    </xf>
    <xf numFmtId="170" fontId="1" fillId="2" borderId="1" xfId="18" applyNumberFormat="1" applyFont="1" applyFill="1" applyBorder="1" applyAlignment="1">
      <alignment vertical="center" wrapText="1"/>
    </xf>
    <xf numFmtId="170" fontId="12" fillId="2" borderId="1" xfId="18" applyNumberFormat="1" applyFont="1" applyFill="1" applyBorder="1" applyAlignment="1">
      <alignment vertical="center" wrapText="1"/>
    </xf>
    <xf numFmtId="170" fontId="1" fillId="2" borderId="6" xfId="18" applyNumberFormat="1" applyFont="1" applyFill="1" applyBorder="1" applyAlignment="1">
      <alignment vertical="center" wrapText="1"/>
    </xf>
    <xf numFmtId="170" fontId="12" fillId="2" borderId="13" xfId="18" applyNumberFormat="1" applyFont="1" applyFill="1" applyBorder="1" applyAlignment="1">
      <alignment vertical="center" wrapText="1"/>
    </xf>
    <xf numFmtId="170" fontId="1" fillId="2" borderId="13" xfId="18" applyNumberFormat="1" applyFont="1" applyFill="1" applyBorder="1" applyAlignment="1">
      <alignment vertical="center"/>
    </xf>
    <xf numFmtId="170" fontId="1" fillId="2" borderId="10" xfId="18" applyNumberFormat="1" applyFont="1" applyFill="1" applyBorder="1" applyAlignment="1">
      <alignment vertical="center"/>
    </xf>
    <xf numFmtId="170" fontId="12" fillId="0" borderId="1" xfId="18" applyNumberFormat="1" applyFont="1" applyFill="1" applyBorder="1" applyAlignment="1">
      <alignment vertical="center"/>
    </xf>
    <xf numFmtId="170" fontId="12" fillId="0" borderId="1" xfId="9" applyNumberFormat="1" applyFont="1" applyFill="1" applyBorder="1" applyAlignment="1">
      <alignment vertical="center"/>
    </xf>
    <xf numFmtId="170" fontId="7" fillId="2" borderId="1" xfId="18" applyNumberFormat="1" applyFont="1" applyFill="1" applyBorder="1" applyAlignment="1">
      <alignment vertical="center"/>
    </xf>
    <xf numFmtId="170" fontId="12" fillId="2" borderId="6" xfId="18" applyNumberFormat="1" applyFont="1" applyFill="1" applyBorder="1" applyAlignment="1">
      <alignment vertical="center"/>
    </xf>
    <xf numFmtId="170" fontId="1" fillId="2" borderId="0" xfId="18" applyNumberFormat="1" applyFont="1" applyFill="1" applyBorder="1" applyAlignment="1">
      <alignment vertical="center"/>
    </xf>
    <xf numFmtId="170" fontId="12" fillId="2" borderId="0" xfId="18" applyNumberFormat="1" applyFont="1" applyFill="1" applyBorder="1" applyAlignment="1">
      <alignment vertical="center"/>
    </xf>
    <xf numFmtId="170" fontId="1" fillId="2" borderId="0" xfId="18" applyNumberFormat="1" applyFont="1" applyFill="1" applyAlignment="1">
      <alignment vertical="center"/>
    </xf>
    <xf numFmtId="170" fontId="12" fillId="2" borderId="0" xfId="18" applyNumberFormat="1" applyFont="1" applyFill="1" applyAlignment="1">
      <alignment vertical="center"/>
    </xf>
    <xf numFmtId="170" fontId="1" fillId="0" borderId="13" xfId="18" applyNumberFormat="1" applyFont="1" applyFill="1" applyBorder="1" applyAlignment="1">
      <alignment vertical="center" wrapText="1"/>
    </xf>
    <xf numFmtId="9" fontId="3" fillId="7" borderId="2" xfId="5" applyFont="1" applyFill="1" applyBorder="1" applyAlignment="1">
      <alignment vertical="center"/>
    </xf>
    <xf numFmtId="190" fontId="1" fillId="2" borderId="1" xfId="5"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1"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 fontId="11" fillId="2" borderId="15"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7" borderId="12" xfId="0" applyFont="1" applyFill="1" applyBorder="1" applyAlignment="1">
      <alignment vertical="center"/>
    </xf>
    <xf numFmtId="0" fontId="11" fillId="7" borderId="12" xfId="0" applyFont="1" applyFill="1" applyBorder="1" applyAlignment="1">
      <alignment horizontal="justify" vertical="center"/>
    </xf>
    <xf numFmtId="0" fontId="13" fillId="7" borderId="12" xfId="0" applyFont="1" applyFill="1" applyBorder="1" applyAlignment="1">
      <alignment vertical="center"/>
    </xf>
    <xf numFmtId="0" fontId="11" fillId="7" borderId="12" xfId="0" applyFont="1" applyFill="1" applyBorder="1" applyAlignment="1">
      <alignment horizontal="center" vertical="center"/>
    </xf>
    <xf numFmtId="180" fontId="11" fillId="7" borderId="12" xfId="0" applyNumberFormat="1" applyFont="1" applyFill="1" applyBorder="1" applyAlignment="1">
      <alignment horizontal="center" vertical="center"/>
    </xf>
    <xf numFmtId="170" fontId="11" fillId="7" borderId="12" xfId="0" applyNumberFormat="1" applyFont="1" applyFill="1" applyBorder="1" applyAlignment="1">
      <alignment vertical="center"/>
    </xf>
    <xf numFmtId="170" fontId="11" fillId="7" borderId="12" xfId="0" applyNumberFormat="1" applyFont="1" applyFill="1" applyBorder="1" applyAlignment="1">
      <alignment horizontal="center" vertical="center"/>
    </xf>
    <xf numFmtId="170" fontId="13" fillId="7" borderId="12" xfId="0" applyNumberFormat="1" applyFont="1" applyFill="1" applyBorder="1" applyAlignment="1">
      <alignment horizontal="center" vertical="center"/>
    </xf>
    <xf numFmtId="1" fontId="11" fillId="7" borderId="12" xfId="0" applyNumberFormat="1" applyFont="1" applyFill="1" applyBorder="1" applyAlignment="1">
      <alignment horizontal="center" vertical="center"/>
    </xf>
    <xf numFmtId="172" fontId="11" fillId="7" borderId="12" xfId="8" applyNumberFormat="1" applyFont="1" applyFill="1" applyBorder="1" applyAlignment="1">
      <alignment vertical="center"/>
    </xf>
    <xf numFmtId="181" fontId="11" fillId="7" borderId="12" xfId="0" applyNumberFormat="1" applyFont="1" applyFill="1" applyBorder="1" applyAlignment="1">
      <alignment vertical="center"/>
    </xf>
    <xf numFmtId="181" fontId="13" fillId="7" borderId="12" xfId="0" applyNumberFormat="1" applyFont="1" applyFill="1" applyBorder="1" applyAlignment="1">
      <alignment vertical="center"/>
    </xf>
    <xf numFmtId="0" fontId="11" fillId="7" borderId="45" xfId="0" applyFont="1" applyFill="1" applyBorder="1" applyAlignment="1">
      <alignment horizontal="justify" vertical="center"/>
    </xf>
    <xf numFmtId="1" fontId="11" fillId="7" borderId="8" xfId="0" applyNumberFormat="1" applyFont="1" applyFill="1" applyBorder="1" applyAlignment="1">
      <alignment horizontal="left" vertical="center" wrapText="1" indent="1"/>
    </xf>
    <xf numFmtId="170" fontId="11" fillId="7" borderId="2" xfId="0" applyNumberFormat="1" applyFont="1" applyFill="1" applyBorder="1" applyAlignment="1">
      <alignment horizontal="center" vertical="center"/>
    </xf>
    <xf numFmtId="0" fontId="7" fillId="2" borderId="7" xfId="0" applyFont="1" applyFill="1" applyBorder="1" applyAlignment="1">
      <alignment horizontal="justify" vertical="center" wrapText="1"/>
    </xf>
    <xf numFmtId="1" fontId="11" fillId="7" borderId="12" xfId="0" applyNumberFormat="1" applyFont="1" applyFill="1" applyBorder="1" applyAlignment="1">
      <alignment horizontal="left" vertical="center" wrapText="1" indent="1"/>
    </xf>
    <xf numFmtId="1" fontId="11" fillId="11" borderId="0" xfId="0" applyNumberFormat="1" applyFont="1" applyFill="1" applyBorder="1" applyAlignment="1">
      <alignment horizontal="center" vertical="center"/>
    </xf>
    <xf numFmtId="0" fontId="11" fillId="11" borderId="0" xfId="0" applyFont="1" applyFill="1" applyBorder="1" applyAlignment="1">
      <alignment vertical="center"/>
    </xf>
    <xf numFmtId="1" fontId="7" fillId="0" borderId="4" xfId="0" applyNumberFormat="1" applyFont="1" applyBorder="1"/>
    <xf numFmtId="0" fontId="7" fillId="0" borderId="12" xfId="0" applyFont="1" applyBorder="1"/>
    <xf numFmtId="0" fontId="7" fillId="0" borderId="5" xfId="0" applyFont="1" applyBorder="1"/>
    <xf numFmtId="1" fontId="7" fillId="0" borderId="15" xfId="0" applyNumberFormat="1" applyFont="1" applyBorder="1"/>
    <xf numFmtId="1" fontId="7" fillId="0" borderId="15" xfId="0" applyNumberFormat="1" applyFont="1" applyBorder="1" applyAlignment="1">
      <alignment horizontal="center" vertical="center"/>
    </xf>
    <xf numFmtId="1" fontId="7" fillId="0" borderId="8" xfId="0" applyNumberFormat="1" applyFont="1" applyBorder="1"/>
    <xf numFmtId="0" fontId="11" fillId="11" borderId="3" xfId="0" applyFont="1" applyFill="1" applyBorder="1" applyAlignment="1">
      <alignment horizontal="justify" vertical="center"/>
    </xf>
    <xf numFmtId="0" fontId="11" fillId="7" borderId="3" xfId="0" applyFont="1" applyFill="1" applyBorder="1" applyAlignment="1">
      <alignment horizontal="justify" vertical="center"/>
    </xf>
    <xf numFmtId="0" fontId="7" fillId="0" borderId="8" xfId="0" applyFont="1" applyBorder="1"/>
    <xf numFmtId="0" fontId="11" fillId="7" borderId="9" xfId="0" applyFont="1" applyFill="1" applyBorder="1" applyAlignment="1">
      <alignment horizontal="justify" vertical="center"/>
    </xf>
    <xf numFmtId="1" fontId="7" fillId="0" borderId="15" xfId="0" applyNumberFormat="1" applyFont="1" applyFill="1" applyBorder="1"/>
    <xf numFmtId="0" fontId="7" fillId="0" borderId="14" xfId="0" applyFont="1" applyFill="1" applyBorder="1"/>
    <xf numFmtId="1" fontId="11" fillId="11" borderId="12" xfId="0" applyNumberFormat="1" applyFont="1" applyFill="1" applyBorder="1" applyAlignment="1">
      <alignment horizontal="center" vertical="center"/>
    </xf>
    <xf numFmtId="0" fontId="7" fillId="0" borderId="4" xfId="0" applyFont="1" applyBorder="1"/>
    <xf numFmtId="0" fontId="7" fillId="0" borderId="15" xfId="0" applyFont="1" applyFill="1" applyBorder="1"/>
    <xf numFmtId="0" fontId="7" fillId="0" borderId="14" xfId="0" applyFont="1" applyFill="1" applyBorder="1" applyAlignment="1">
      <alignment wrapText="1"/>
    </xf>
    <xf numFmtId="1" fontId="7" fillId="2" borderId="9"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11" fillId="7" borderId="0" xfId="0" applyNumberFormat="1" applyFont="1" applyFill="1" applyBorder="1" applyAlignment="1">
      <alignment horizontal="center" vertical="center" wrapText="1"/>
    </xf>
    <xf numFmtId="0" fontId="11" fillId="7" borderId="0" xfId="0" applyFont="1" applyFill="1" applyBorder="1" applyAlignment="1">
      <alignment vertical="center"/>
    </xf>
    <xf numFmtId="170" fontId="12" fillId="0" borderId="6" xfId="0" applyNumberFormat="1" applyFont="1" applyFill="1" applyBorder="1" applyAlignment="1">
      <alignment horizontal="center" vertical="center"/>
    </xf>
    <xf numFmtId="181" fontId="12" fillId="2" borderId="4" xfId="0" applyNumberFormat="1" applyFont="1" applyFill="1" applyBorder="1" applyAlignment="1">
      <alignment horizontal="center" vertical="center"/>
    </xf>
    <xf numFmtId="181" fontId="12" fillId="2" borderId="8" xfId="0" applyNumberFormat="1" applyFont="1" applyFill="1" applyBorder="1" applyAlignment="1">
      <alignment horizontal="center" vertical="center"/>
    </xf>
    <xf numFmtId="1" fontId="7" fillId="2" borderId="10" xfId="0" applyNumberFormat="1" applyFont="1" applyFill="1" applyBorder="1" applyAlignment="1">
      <alignment horizontal="center" vertical="top" wrapText="1"/>
    </xf>
    <xf numFmtId="0" fontId="7" fillId="2" borderId="6" xfId="0" applyFont="1" applyFill="1" applyBorder="1" applyAlignment="1">
      <alignment vertical="center" wrapText="1"/>
    </xf>
    <xf numFmtId="170" fontId="7" fillId="2" borderId="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 fontId="7" fillId="2" borderId="6" xfId="0" applyNumberFormat="1" applyFont="1" applyFill="1" applyBorder="1" applyAlignment="1">
      <alignment vertical="center" wrapText="1"/>
    </xf>
    <xf numFmtId="0" fontId="7" fillId="2" borderId="10" xfId="0" applyFont="1" applyFill="1" applyBorder="1" applyAlignment="1">
      <alignment vertical="center" wrapText="1"/>
    </xf>
    <xf numFmtId="0" fontId="3" fillId="3" borderId="8" xfId="0" applyFont="1" applyFill="1" applyBorder="1" applyAlignment="1">
      <alignment horizontal="justify" vertical="center" wrapText="1"/>
    </xf>
    <xf numFmtId="49" fontId="13" fillId="3" borderId="8" xfId="0" applyNumberFormat="1" applyFont="1" applyFill="1" applyBorder="1" applyAlignment="1">
      <alignment horizontal="center" vertical="center" textRotation="180" wrapText="1"/>
    </xf>
    <xf numFmtId="49" fontId="3" fillId="3" borderId="8" xfId="0" applyNumberFormat="1" applyFont="1" applyFill="1" applyBorder="1" applyAlignment="1">
      <alignment horizontal="center" vertical="center" textRotation="180" wrapText="1"/>
    </xf>
    <xf numFmtId="0" fontId="11" fillId="3" borderId="8" xfId="0" applyFont="1" applyFill="1" applyBorder="1" applyAlignment="1">
      <alignment horizontal="center" vertical="center" textRotation="180" wrapText="1"/>
    </xf>
    <xf numFmtId="169" fontId="13" fillId="3" borderId="8" xfId="0" applyNumberFormat="1" applyFont="1" applyFill="1" applyBorder="1" applyAlignment="1">
      <alignment horizontal="center" vertical="center" wrapText="1"/>
    </xf>
    <xf numFmtId="3" fontId="3" fillId="6" borderId="11" xfId="0" applyNumberFormat="1" applyFont="1" applyFill="1" applyBorder="1" applyAlignment="1">
      <alignment horizontal="center" vertical="center"/>
    </xf>
    <xf numFmtId="3" fontId="3" fillId="8" borderId="12" xfId="0" applyNumberFormat="1" applyFont="1" applyFill="1" applyBorder="1" applyAlignment="1">
      <alignment horizontal="center" vertical="center"/>
    </xf>
    <xf numFmtId="0" fontId="11" fillId="8" borderId="12" xfId="0" applyFont="1" applyFill="1" applyBorder="1" applyAlignment="1">
      <alignment vertical="center"/>
    </xf>
    <xf numFmtId="0" fontId="1" fillId="0" borderId="9"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8" fillId="16" borderId="1" xfId="0" applyFont="1" applyFill="1" applyBorder="1" applyAlignment="1">
      <alignment horizontal="justify" vertical="center" wrapText="1"/>
    </xf>
    <xf numFmtId="164" fontId="1" fillId="2" borderId="3" xfId="16" applyNumberFormat="1" applyFont="1" applyFill="1" applyBorder="1" applyAlignment="1">
      <alignment horizontal="center" vertical="center" wrapText="1"/>
    </xf>
    <xf numFmtId="3" fontId="1" fillId="2" borderId="1" xfId="16" applyNumberFormat="1" applyFont="1" applyFill="1" applyBorder="1" applyAlignment="1">
      <alignment horizontal="center" vertical="center" wrapText="1"/>
    </xf>
    <xf numFmtId="0" fontId="7" fillId="2" borderId="13" xfId="0" applyFont="1" applyFill="1" applyBorder="1" applyAlignment="1">
      <alignment vertical="center" textRotation="180" wrapText="1"/>
    </xf>
    <xf numFmtId="3" fontId="1" fillId="2" borderId="6" xfId="16" applyNumberFormat="1" applyFont="1" applyFill="1" applyBorder="1" applyAlignment="1">
      <alignment horizontal="center" vertical="center" wrapText="1"/>
    </xf>
    <xf numFmtId="164" fontId="1" fillId="2" borderId="1" xfId="16"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textRotation="180" wrapText="1"/>
    </xf>
    <xf numFmtId="1" fontId="12" fillId="0" borderId="1" xfId="0" applyNumberFormat="1" applyFont="1" applyFill="1" applyBorder="1" applyAlignment="1">
      <alignment horizontal="center" vertical="center" textRotation="180" wrapText="1"/>
    </xf>
    <xf numFmtId="0" fontId="12" fillId="2" borderId="1" xfId="0" applyFont="1" applyFill="1" applyBorder="1" applyAlignment="1">
      <alignment horizontal="center" vertical="center" textRotation="180" wrapText="1"/>
    </xf>
    <xf numFmtId="9" fontId="0" fillId="0" borderId="1" xfId="0" applyNumberFormat="1" applyFont="1" applyFill="1" applyBorder="1" applyAlignment="1">
      <alignment horizontal="center" vertical="center"/>
    </xf>
    <xf numFmtId="0" fontId="7" fillId="2" borderId="1" xfId="0" applyFont="1" applyFill="1" applyBorder="1" applyAlignment="1">
      <alignment vertical="center" wrapText="1"/>
    </xf>
    <xf numFmtId="169" fontId="7" fillId="2" borderId="1" xfId="0" applyNumberFormat="1" applyFont="1" applyFill="1" applyBorder="1" applyAlignment="1">
      <alignment horizontal="center" vertical="center" wrapText="1"/>
    </xf>
    <xf numFmtId="42" fontId="1" fillId="2" borderId="1" xfId="16" applyFont="1" applyFill="1" applyBorder="1" applyAlignment="1">
      <alignment horizontal="center" vertical="center" wrapText="1"/>
    </xf>
    <xf numFmtId="0" fontId="3" fillId="8" borderId="10" xfId="0" applyFont="1" applyFill="1" applyBorder="1" applyAlignment="1">
      <alignment vertical="center"/>
    </xf>
    <xf numFmtId="0" fontId="3" fillId="8" borderId="8" xfId="0" applyFont="1" applyFill="1" applyBorder="1" applyAlignment="1">
      <alignment horizontal="justify" vertical="center"/>
    </xf>
    <xf numFmtId="0" fontId="13" fillId="8" borderId="2" xfId="0" applyFont="1" applyFill="1" applyBorder="1" applyAlignment="1">
      <alignment vertical="center"/>
    </xf>
    <xf numFmtId="0" fontId="1" fillId="8" borderId="2" xfId="0" applyFont="1" applyFill="1" applyBorder="1" applyAlignment="1">
      <alignment vertical="center"/>
    </xf>
    <xf numFmtId="3" fontId="3" fillId="8" borderId="2" xfId="0" applyNumberFormat="1" applyFont="1" applyFill="1" applyBorder="1" applyAlignment="1">
      <alignment horizontal="center" vertical="center"/>
    </xf>
    <xf numFmtId="0" fontId="11" fillId="8" borderId="2" xfId="0" applyFont="1" applyFill="1" applyBorder="1" applyAlignment="1">
      <alignment vertical="center"/>
    </xf>
    <xf numFmtId="0" fontId="1" fillId="8" borderId="9" xfId="0" applyFont="1" applyFill="1" applyBorder="1" applyAlignment="1">
      <alignment vertical="center"/>
    </xf>
    <xf numFmtId="9" fontId="1" fillId="2" borderId="10" xfId="0" applyNumberFormat="1" applyFont="1" applyFill="1" applyBorder="1" applyAlignment="1">
      <alignment horizontal="center" vertical="center" wrapText="1"/>
    </xf>
    <xf numFmtId="42" fontId="1" fillId="2" borderId="8" xfId="16" applyFont="1" applyFill="1" applyBorder="1" applyAlignment="1">
      <alignment horizontal="center" vertical="center" wrapText="1"/>
    </xf>
    <xf numFmtId="0" fontId="8" fillId="0" borderId="0" xfId="0" applyFont="1" applyAlignment="1">
      <alignment horizontal="justify" vertical="center" wrapText="1"/>
    </xf>
    <xf numFmtId="42" fontId="1" fillId="2" borderId="15" xfId="16" applyFont="1" applyFill="1" applyBorder="1" applyAlignment="1">
      <alignment horizontal="center" vertical="center" wrapText="1"/>
    </xf>
    <xf numFmtId="3" fontId="1" fillId="2" borderId="15" xfId="16" applyNumberFormat="1" applyFont="1" applyFill="1" applyBorder="1" applyAlignment="1">
      <alignment horizontal="center" vertical="center" wrapText="1"/>
    </xf>
    <xf numFmtId="0" fontId="3" fillId="8" borderId="7" xfId="0" applyFont="1" applyFill="1" applyBorder="1" applyAlignment="1">
      <alignment horizontal="justify" vertical="center"/>
    </xf>
    <xf numFmtId="0" fontId="1" fillId="8" borderId="11" xfId="0" applyFont="1" applyFill="1" applyBorder="1" applyAlignment="1">
      <alignment vertical="center"/>
    </xf>
    <xf numFmtId="0" fontId="11" fillId="8" borderId="11" xfId="0" applyFont="1" applyFill="1" applyBorder="1" applyAlignment="1">
      <alignment vertical="center"/>
    </xf>
    <xf numFmtId="42" fontId="7" fillId="2" borderId="1" xfId="16" applyFont="1" applyFill="1" applyBorder="1" applyAlignment="1">
      <alignment horizontal="center" vertical="center" wrapText="1"/>
    </xf>
    <xf numFmtId="42" fontId="7" fillId="2" borderId="6" xfId="16" applyFont="1" applyFill="1" applyBorder="1" applyAlignment="1">
      <alignment horizontal="center" vertical="center" wrapText="1"/>
    </xf>
    <xf numFmtId="42" fontId="7" fillId="2" borderId="1" xfId="16" applyFont="1" applyFill="1" applyBorder="1" applyAlignment="1">
      <alignment horizontal="center" vertical="center"/>
    </xf>
    <xf numFmtId="42" fontId="12" fillId="2" borderId="1" xfId="16" applyFont="1" applyFill="1" applyBorder="1" applyAlignment="1">
      <alignment horizontal="center" vertical="center"/>
    </xf>
    <xf numFmtId="0" fontId="1" fillId="2" borderId="6" xfId="0" applyFont="1" applyFill="1" applyBorder="1" applyAlignment="1">
      <alignment horizontal="justify" vertical="center"/>
    </xf>
    <xf numFmtId="42" fontId="7" fillId="2" borderId="6" xfId="16" applyFont="1" applyFill="1" applyBorder="1" applyAlignment="1">
      <alignment horizontal="center" vertical="center"/>
    </xf>
    <xf numFmtId="42" fontId="1" fillId="0" borderId="1" xfId="16" applyFont="1" applyBorder="1" applyAlignment="1">
      <alignment horizontal="center" vertical="center"/>
    </xf>
    <xf numFmtId="3" fontId="1" fillId="0" borderId="1" xfId="16" applyNumberFormat="1" applyFont="1" applyBorder="1" applyAlignment="1">
      <alignment horizontal="center" vertical="center"/>
    </xf>
    <xf numFmtId="9" fontId="1" fillId="2" borderId="1" xfId="5" applyNumberFormat="1" applyFont="1" applyFill="1" applyBorder="1" applyAlignment="1">
      <alignment horizontal="center" vertical="center"/>
    </xf>
    <xf numFmtId="1" fontId="7" fillId="0" borderId="1" xfId="0" applyNumberFormat="1" applyFont="1" applyBorder="1" applyAlignment="1">
      <alignment horizontal="center" vertical="center" textRotation="180"/>
    </xf>
    <xf numFmtId="168" fontId="7" fillId="0" borderId="1" xfId="0" applyNumberFormat="1" applyFont="1" applyBorder="1" applyAlignment="1">
      <alignment horizontal="center" vertical="center"/>
    </xf>
    <xf numFmtId="0" fontId="35" fillId="0" borderId="1" xfId="0" applyFont="1" applyBorder="1" applyAlignment="1">
      <alignment horizontal="center" vertical="center"/>
    </xf>
    <xf numFmtId="9" fontId="0" fillId="0" borderId="1" xfId="0" applyNumberFormat="1" applyFont="1" applyBorder="1" applyAlignment="1">
      <alignment horizontal="center" vertical="center"/>
    </xf>
    <xf numFmtId="0" fontId="7" fillId="0" borderId="1" xfId="0" applyFont="1" applyBorder="1" applyAlignment="1">
      <alignment vertical="center" wrapText="1"/>
    </xf>
    <xf numFmtId="169" fontId="7" fillId="2" borderId="1" xfId="0" applyNumberFormat="1" applyFont="1" applyFill="1" applyBorder="1" applyAlignment="1">
      <alignment horizontal="center" vertical="center"/>
    </xf>
    <xf numFmtId="0" fontId="1" fillId="0" borderId="14" xfId="0" applyFont="1" applyFill="1" applyBorder="1" applyAlignment="1">
      <alignment horizontal="justify" vertical="center" wrapText="1"/>
    </xf>
    <xf numFmtId="9" fontId="1" fillId="2" borderId="13" xfId="5" applyNumberFormat="1" applyFont="1" applyFill="1" applyBorder="1" applyAlignment="1">
      <alignment horizontal="center" vertical="center"/>
    </xf>
    <xf numFmtId="42" fontId="1" fillId="0" borderId="13" xfId="16" applyFont="1" applyBorder="1" applyAlignment="1">
      <alignment horizontal="center" vertical="center"/>
    </xf>
    <xf numFmtId="3" fontId="1" fillId="0" borderId="13" xfId="16" applyNumberFormat="1" applyFont="1" applyBorder="1" applyAlignment="1">
      <alignment horizontal="center" vertical="center"/>
    </xf>
    <xf numFmtId="1" fontId="7" fillId="0" borderId="13" xfId="0" applyNumberFormat="1" applyFont="1" applyBorder="1" applyAlignment="1">
      <alignment horizontal="center" vertical="center" textRotation="180"/>
    </xf>
    <xf numFmtId="168" fontId="7" fillId="0" borderId="13" xfId="0" applyNumberFormat="1" applyFont="1" applyBorder="1" applyAlignment="1">
      <alignment horizontal="center" vertical="center"/>
    </xf>
    <xf numFmtId="0" fontId="12" fillId="0" borderId="13" xfId="0" applyFont="1" applyBorder="1"/>
    <xf numFmtId="0" fontId="35" fillId="0" borderId="13" xfId="0" applyFont="1" applyBorder="1" applyAlignment="1">
      <alignment horizontal="center" vertical="center"/>
    </xf>
    <xf numFmtId="9" fontId="0" fillId="0" borderId="61" xfId="0" applyNumberFormat="1" applyFont="1" applyBorder="1" applyAlignment="1">
      <alignment horizontal="center" vertical="center"/>
    </xf>
    <xf numFmtId="0" fontId="0" fillId="0" borderId="13" xfId="0" applyFont="1" applyBorder="1" applyAlignment="1">
      <alignment horizontal="center" vertical="center"/>
    </xf>
    <xf numFmtId="0" fontId="7" fillId="0" borderId="61" xfId="0" applyFont="1" applyBorder="1" applyAlignment="1">
      <alignment vertical="center" wrapText="1"/>
    </xf>
    <xf numFmtId="169" fontId="1" fillId="2" borderId="61" xfId="0" applyNumberFormat="1" applyFont="1" applyFill="1" applyBorder="1" applyAlignment="1">
      <alignment horizontal="center" vertical="center" wrapText="1"/>
    </xf>
    <xf numFmtId="169" fontId="7" fillId="2" borderId="61" xfId="0" applyNumberFormat="1" applyFont="1" applyFill="1" applyBorder="1" applyAlignment="1">
      <alignment horizontal="center" vertical="center" wrapText="1"/>
    </xf>
    <xf numFmtId="169" fontId="7" fillId="2" borderId="61" xfId="0" applyNumberFormat="1" applyFont="1" applyFill="1" applyBorder="1" applyAlignment="1">
      <alignment horizontal="center" vertical="center"/>
    </xf>
    <xf numFmtId="0" fontId="1" fillId="0" borderId="61" xfId="0" applyFont="1" applyBorder="1" applyAlignment="1">
      <alignment horizontal="center" vertical="center" wrapText="1"/>
    </xf>
    <xf numFmtId="0" fontId="3" fillId="8" borderId="3" xfId="0" applyFont="1" applyFill="1" applyBorder="1" applyAlignment="1">
      <alignment horizontal="justify" vertical="center"/>
    </xf>
    <xf numFmtId="0" fontId="8" fillId="0" borderId="10" xfId="0" applyFont="1" applyBorder="1" applyAlignment="1">
      <alignment horizontal="justify" vertical="center" wrapText="1"/>
    </xf>
    <xf numFmtId="0" fontId="1" fillId="2" borderId="10" xfId="0" applyFont="1" applyFill="1" applyBorder="1" applyAlignment="1">
      <alignment horizontal="justify" vertical="center"/>
    </xf>
    <xf numFmtId="3" fontId="1" fillId="2" borderId="10" xfId="16" applyNumberFormat="1" applyFont="1" applyFill="1" applyBorder="1" applyAlignment="1">
      <alignment horizontal="center" vertical="center"/>
    </xf>
    <xf numFmtId="3" fontId="1" fillId="2" borderId="13" xfId="16" applyNumberFormat="1" applyFont="1" applyFill="1" applyBorder="1" applyAlignment="1">
      <alignment horizontal="center" vertical="center"/>
    </xf>
    <xf numFmtId="0" fontId="1" fillId="2" borderId="1" xfId="0" applyFont="1" applyFill="1" applyBorder="1" applyAlignment="1">
      <alignment horizontal="justify" vertical="justify" wrapText="1"/>
    </xf>
    <xf numFmtId="3" fontId="1" fillId="2" borderId="1" xfId="16" applyNumberFormat="1" applyFont="1" applyFill="1" applyBorder="1" applyAlignment="1">
      <alignment horizontal="center" vertical="center"/>
    </xf>
    <xf numFmtId="168" fontId="7" fillId="0" borderId="1" xfId="0" applyNumberFormat="1" applyFont="1" applyBorder="1" applyAlignment="1">
      <alignment vertical="center"/>
    </xf>
    <xf numFmtId="9" fontId="1" fillId="0" borderId="1" xfId="5" applyFont="1" applyBorder="1" applyAlignment="1">
      <alignment horizontal="center" vertical="center"/>
    </xf>
    <xf numFmtId="0" fontId="3" fillId="8" borderId="8" xfId="0" applyFont="1" applyFill="1" applyBorder="1" applyAlignment="1">
      <alignment vertical="center"/>
    </xf>
    <xf numFmtId="0" fontId="8" fillId="0" borderId="1" xfId="0" applyFont="1" applyFill="1" applyBorder="1" applyAlignment="1">
      <alignment horizontal="justify" vertical="center" wrapText="1"/>
    </xf>
    <xf numFmtId="3" fontId="1" fillId="0" borderId="1" xfId="16" applyNumberFormat="1" applyFont="1" applyFill="1" applyBorder="1" applyAlignment="1">
      <alignment horizontal="center" vertical="center"/>
    </xf>
    <xf numFmtId="0" fontId="8" fillId="0" borderId="0" xfId="0" applyFont="1" applyFill="1" applyBorder="1" applyAlignment="1">
      <alignment horizontal="justify" vertical="center" wrapText="1"/>
    </xf>
    <xf numFmtId="3" fontId="7" fillId="0" borderId="1" xfId="0" applyNumberFormat="1" applyFont="1" applyBorder="1" applyAlignment="1">
      <alignment vertical="center"/>
    </xf>
    <xf numFmtId="168" fontId="7" fillId="2" borderId="1" xfId="0" applyNumberFormat="1" applyFont="1" applyFill="1" applyBorder="1" applyAlignment="1">
      <alignment horizontal="center" vertical="center"/>
    </xf>
    <xf numFmtId="1" fontId="12" fillId="0" borderId="1" xfId="0" applyNumberFormat="1" applyFont="1" applyBorder="1"/>
    <xf numFmtId="10" fontId="1" fillId="0" borderId="1" xfId="0" applyNumberFormat="1" applyFont="1" applyBorder="1" applyAlignment="1">
      <alignment horizontal="center" vertical="center"/>
    </xf>
    <xf numFmtId="0" fontId="3" fillId="8" borderId="9" xfId="0" applyFont="1" applyFill="1" applyBorder="1" applyAlignment="1">
      <alignment horizontal="justify" vertical="center"/>
    </xf>
    <xf numFmtId="0" fontId="1" fillId="0" borderId="10" xfId="0" applyFont="1" applyFill="1" applyBorder="1" applyAlignment="1">
      <alignment horizontal="justify" vertical="center"/>
    </xf>
    <xf numFmtId="0" fontId="1" fillId="0" borderId="6" xfId="0" applyFont="1" applyFill="1" applyBorder="1" applyAlignment="1">
      <alignment horizontal="justify" vertical="center"/>
    </xf>
    <xf numFmtId="164" fontId="1" fillId="2" borderId="1" xfId="0" applyNumberFormat="1" applyFont="1" applyFill="1" applyBorder="1" applyAlignment="1">
      <alignment horizontal="center" vertical="center"/>
    </xf>
    <xf numFmtId="9" fontId="1" fillId="0" borderId="1" xfId="0" applyNumberFormat="1" applyFont="1" applyBorder="1" applyAlignment="1">
      <alignment horizontal="center" vertical="center"/>
    </xf>
    <xf numFmtId="0" fontId="3" fillId="8" borderId="6" xfId="0" applyFont="1" applyFill="1" applyBorder="1" applyAlignment="1">
      <alignment vertical="center"/>
    </xf>
    <xf numFmtId="0" fontId="3" fillId="8" borderId="4" xfId="0" applyFont="1" applyFill="1" applyBorder="1" applyAlignment="1">
      <alignment vertical="center"/>
    </xf>
    <xf numFmtId="0" fontId="1" fillId="0" borderId="1" xfId="0" applyFont="1" applyFill="1" applyBorder="1" applyAlignment="1">
      <alignment horizontal="justify" vertical="center"/>
    </xf>
    <xf numFmtId="168" fontId="1" fillId="0" borderId="1" xfId="7" applyNumberFormat="1" applyFont="1" applyFill="1" applyBorder="1" applyAlignment="1">
      <alignment horizontal="center" vertical="center"/>
    </xf>
    <xf numFmtId="168" fontId="12" fillId="0" borderId="1" xfId="7" applyNumberFormat="1" applyFont="1" applyFill="1" applyBorder="1" applyAlignment="1">
      <alignment horizontal="center" vertical="center"/>
    </xf>
    <xf numFmtId="168" fontId="7" fillId="0" borderId="1" xfId="7" applyNumberFormat="1" applyFont="1" applyFill="1" applyBorder="1" applyAlignment="1">
      <alignment horizontal="center" vertical="center"/>
    </xf>
    <xf numFmtId="0" fontId="7" fillId="0" borderId="1" xfId="0" applyFont="1" applyBorder="1" applyAlignment="1">
      <alignment horizontal="center" vertical="center"/>
    </xf>
    <xf numFmtId="9" fontId="0" fillId="0" borderId="1" xfId="5" applyFont="1" applyFill="1" applyBorder="1" applyAlignment="1">
      <alignment horizontal="right" vertical="center"/>
    </xf>
    <xf numFmtId="0" fontId="1" fillId="2" borderId="57" xfId="0" applyFont="1" applyFill="1" applyBorder="1" applyAlignment="1">
      <alignment horizontal="justify" vertical="center"/>
    </xf>
    <xf numFmtId="0" fontId="1" fillId="2" borderId="37" xfId="0" applyFont="1" applyFill="1" applyBorder="1" applyAlignment="1">
      <alignment horizontal="justify" vertical="center"/>
    </xf>
    <xf numFmtId="0" fontId="1" fillId="2" borderId="63" xfId="0" applyFont="1" applyFill="1" applyBorder="1" applyAlignment="1">
      <alignment horizontal="justify" vertical="center"/>
    </xf>
    <xf numFmtId="42" fontId="3" fillId="0" borderId="67" xfId="0" applyNumberFormat="1" applyFont="1" applyFill="1" applyBorder="1" applyAlignment="1">
      <alignment horizontal="center" vertical="center"/>
    </xf>
    <xf numFmtId="42" fontId="13" fillId="0" borderId="67" xfId="0" applyNumberFormat="1" applyFont="1" applyFill="1" applyBorder="1" applyAlignment="1">
      <alignment horizontal="center" vertical="center"/>
    </xf>
    <xf numFmtId="3" fontId="1" fillId="2" borderId="57" xfId="0" applyNumberFormat="1" applyFont="1" applyFill="1" applyBorder="1" applyAlignment="1">
      <alignment horizontal="center" vertical="center"/>
    </xf>
    <xf numFmtId="0" fontId="1" fillId="2" borderId="37" xfId="0" applyFont="1" applyFill="1" applyBorder="1" applyAlignment="1">
      <alignment horizontal="center" vertical="center"/>
    </xf>
    <xf numFmtId="0" fontId="12" fillId="0" borderId="37" xfId="0" applyFont="1" applyBorder="1"/>
    <xf numFmtId="0" fontId="7" fillId="0" borderId="37" xfId="0" applyFont="1" applyBorder="1"/>
    <xf numFmtId="0" fontId="1" fillId="0" borderId="37" xfId="0" applyFont="1" applyFill="1" applyBorder="1" applyAlignment="1">
      <alignment horizontal="center" vertical="center"/>
    </xf>
    <xf numFmtId="0" fontId="12" fillId="0" borderId="37" xfId="0" applyFont="1" applyFill="1" applyBorder="1" applyAlignment="1">
      <alignment horizontal="center" vertical="center"/>
    </xf>
    <xf numFmtId="43" fontId="4" fillId="2" borderId="0" xfId="13" applyFont="1" applyFill="1" applyAlignment="1">
      <alignment horizontal="center"/>
    </xf>
    <xf numFmtId="44" fontId="12" fillId="2" borderId="0" xfId="14" applyFont="1" applyFill="1" applyAlignment="1">
      <alignment horizontal="center" vertical="center"/>
    </xf>
    <xf numFmtId="42" fontId="1" fillId="2" borderId="0" xfId="0" applyNumberFormat="1" applyFont="1" applyFill="1" applyAlignment="1">
      <alignment horizontal="center" vertical="center"/>
    </xf>
    <xf numFmtId="3" fontId="0" fillId="2" borderId="0" xfId="0" applyNumberFormat="1" applyFont="1" applyFill="1" applyAlignment="1">
      <alignment horizontal="center" vertical="center"/>
    </xf>
    <xf numFmtId="169" fontId="1" fillId="2" borderId="0" xfId="0" applyNumberFormat="1" applyFont="1" applyFill="1" applyAlignment="1">
      <alignment horizontal="center"/>
    </xf>
    <xf numFmtId="169" fontId="12" fillId="2" borderId="0" xfId="0" applyNumberFormat="1" applyFont="1" applyFill="1" applyAlignment="1">
      <alignment horizontal="center"/>
    </xf>
    <xf numFmtId="0" fontId="1" fillId="2" borderId="12" xfId="0" applyFont="1" applyFill="1" applyBorder="1"/>
    <xf numFmtId="0" fontId="1" fillId="2" borderId="5" xfId="0" applyFont="1" applyFill="1" applyBorder="1"/>
    <xf numFmtId="0" fontId="1" fillId="2" borderId="15" xfId="0" applyFont="1" applyFill="1" applyBorder="1"/>
    <xf numFmtId="0" fontId="1" fillId="2" borderId="14" xfId="0" applyFont="1" applyFill="1" applyBorder="1"/>
    <xf numFmtId="0" fontId="1" fillId="2" borderId="15" xfId="0" applyFont="1" applyFill="1" applyBorder="1" applyAlignment="1"/>
    <xf numFmtId="0" fontId="1" fillId="2" borderId="14" xfId="0" applyFont="1" applyFill="1" applyBorder="1" applyAlignment="1"/>
    <xf numFmtId="0" fontId="1" fillId="2" borderId="15" xfId="0" applyFont="1" applyFill="1" applyBorder="1" applyAlignment="1">
      <alignment horizontal="center"/>
    </xf>
    <xf numFmtId="0" fontId="1" fillId="2" borderId="14" xfId="0" applyFont="1" applyFill="1" applyBorder="1" applyAlignment="1">
      <alignment horizontal="center"/>
    </xf>
    <xf numFmtId="1" fontId="3" fillId="6" borderId="12" xfId="0" applyNumberFormat="1" applyFont="1" applyFill="1" applyBorder="1" applyAlignment="1">
      <alignment horizontal="left" vertical="center" wrapText="1"/>
    </xf>
    <xf numFmtId="1" fontId="3" fillId="8" borderId="3" xfId="0" applyNumberFormat="1" applyFont="1" applyFill="1" applyBorder="1" applyAlignment="1">
      <alignment horizontal="justify" vertical="center" wrapText="1"/>
    </xf>
    <xf numFmtId="1" fontId="3" fillId="8" borderId="3" xfId="0" applyNumberFormat="1" applyFont="1" applyFill="1" applyBorder="1" applyAlignment="1">
      <alignment horizontal="justify" vertical="center"/>
    </xf>
    <xf numFmtId="0" fontId="3" fillId="2" borderId="14" xfId="0" applyFont="1" applyFill="1" applyBorder="1" applyAlignment="1">
      <alignment vertical="center"/>
    </xf>
    <xf numFmtId="1" fontId="3" fillId="8" borderId="5" xfId="0" applyNumberFormat="1" applyFont="1" applyFill="1" applyBorder="1" applyAlignment="1">
      <alignment horizontal="justify" vertical="center" wrapText="1"/>
    </xf>
    <xf numFmtId="0" fontId="1" fillId="2" borderId="4" xfId="0" applyFont="1" applyFill="1" applyBorder="1" applyAlignment="1"/>
    <xf numFmtId="0" fontId="1" fillId="2" borderId="12" xfId="0" applyFont="1" applyFill="1" applyBorder="1" applyAlignment="1"/>
    <xf numFmtId="0" fontId="1" fillId="2" borderId="5" xfId="0" applyFont="1" applyFill="1" applyBorder="1" applyAlignment="1"/>
    <xf numFmtId="0" fontId="8" fillId="2" borderId="6" xfId="0" applyFont="1" applyFill="1" applyBorder="1" applyAlignment="1">
      <alignment horizontal="justify" vertical="center" wrapText="1"/>
    </xf>
    <xf numFmtId="1" fontId="1" fillId="2" borderId="11" xfId="0" applyNumberFormat="1" applyFont="1" applyFill="1" applyBorder="1" applyAlignment="1">
      <alignment horizontal="center" vertical="center" wrapText="1"/>
    </xf>
    <xf numFmtId="42" fontId="3" fillId="2" borderId="63" xfId="0" applyNumberFormat="1" applyFont="1" applyFill="1" applyBorder="1" applyAlignment="1">
      <alignment horizontal="center" vertical="center"/>
    </xf>
    <xf numFmtId="165" fontId="12" fillId="0" borderId="1" xfId="15"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xf>
    <xf numFmtId="42" fontId="12" fillId="2" borderId="6" xfId="16" applyFont="1" applyFill="1" applyBorder="1" applyAlignment="1">
      <alignment horizontal="center" vertical="center"/>
    </xf>
    <xf numFmtId="3" fontId="14" fillId="2" borderId="10" xfId="0" applyNumberFormat="1" applyFont="1" applyFill="1" applyBorder="1" applyAlignment="1">
      <alignment horizontal="center" vertical="center"/>
    </xf>
    <xf numFmtId="44" fontId="14" fillId="2" borderId="1" xfId="14" applyFont="1" applyFill="1" applyBorder="1" applyAlignment="1">
      <alignment horizontal="center" vertical="center"/>
    </xf>
    <xf numFmtId="164" fontId="3" fillId="3" borderId="8" xfId="17" applyFont="1" applyFill="1" applyBorder="1" applyAlignment="1">
      <alignment horizontal="center" vertical="center" textRotation="180" wrapText="1"/>
    </xf>
    <xf numFmtId="164" fontId="3" fillId="3" borderId="8" xfId="17" applyFont="1" applyFill="1" applyBorder="1" applyAlignment="1">
      <alignment vertical="center" textRotation="180" wrapText="1"/>
    </xf>
    <xf numFmtId="164" fontId="3" fillId="6" borderId="11" xfId="17" applyFont="1" applyFill="1" applyBorder="1" applyAlignment="1">
      <alignment horizontal="center" vertical="center"/>
    </xf>
    <xf numFmtId="164" fontId="3" fillId="6" borderId="11" xfId="17" applyFont="1" applyFill="1" applyBorder="1" applyAlignment="1">
      <alignment vertical="center"/>
    </xf>
    <xf numFmtId="164" fontId="3" fillId="11" borderId="11" xfId="17" applyFont="1" applyFill="1" applyBorder="1" applyAlignment="1">
      <alignment horizontal="center" vertical="center"/>
    </xf>
    <xf numFmtId="164" fontId="3" fillId="11" borderId="11" xfId="17" applyFont="1" applyFill="1" applyBorder="1" applyAlignment="1">
      <alignment vertical="center"/>
    </xf>
    <xf numFmtId="164" fontId="3" fillId="8" borderId="12" xfId="17" applyFont="1" applyFill="1" applyBorder="1" applyAlignment="1">
      <alignment horizontal="center" vertical="center"/>
    </xf>
    <xf numFmtId="164" fontId="3" fillId="8" borderId="12" xfId="17" applyFont="1" applyFill="1" applyBorder="1" applyAlignment="1">
      <alignment vertical="center"/>
    </xf>
    <xf numFmtId="164" fontId="0" fillId="0" borderId="1" xfId="17" applyFont="1" applyFill="1" applyBorder="1" applyAlignment="1">
      <alignment horizontal="center" vertical="center"/>
    </xf>
    <xf numFmtId="164" fontId="0" fillId="0" borderId="1" xfId="17" applyFont="1" applyFill="1" applyBorder="1" applyAlignment="1">
      <alignment vertical="center"/>
    </xf>
    <xf numFmtId="164" fontId="3" fillId="8" borderId="2" xfId="17" applyFont="1" applyFill="1" applyBorder="1" applyAlignment="1">
      <alignment horizontal="center" vertical="center"/>
    </xf>
    <xf numFmtId="164" fontId="3" fillId="8" borderId="2" xfId="17" applyFont="1" applyFill="1" applyBorder="1" applyAlignment="1">
      <alignment vertical="center"/>
    </xf>
    <xf numFmtId="164" fontId="3" fillId="8" borderId="11" xfId="17" applyFont="1" applyFill="1" applyBorder="1" applyAlignment="1">
      <alignment horizontal="center" vertical="center"/>
    </xf>
    <xf numFmtId="164" fontId="3" fillId="8" borderId="11" xfId="17" applyFont="1" applyFill="1" applyBorder="1" applyAlignment="1">
      <alignment vertical="center"/>
    </xf>
    <xf numFmtId="164" fontId="1" fillId="0" borderId="1" xfId="17" applyFont="1" applyBorder="1" applyAlignment="1">
      <alignment horizontal="center" vertical="center"/>
    </xf>
    <xf numFmtId="164" fontId="1" fillId="0" borderId="1" xfId="17" applyFont="1" applyBorder="1" applyAlignment="1">
      <alignment vertical="center"/>
    </xf>
    <xf numFmtId="164" fontId="1" fillId="2" borderId="1" xfId="17" applyFont="1" applyFill="1" applyBorder="1" applyAlignment="1">
      <alignment horizontal="center" vertical="center"/>
    </xf>
    <xf numFmtId="164" fontId="1" fillId="2" borderId="1" xfId="17" applyFont="1" applyFill="1" applyBorder="1" applyAlignment="1">
      <alignment vertical="center"/>
    </xf>
    <xf numFmtId="164" fontId="1" fillId="0" borderId="37" xfId="17" applyFont="1" applyBorder="1" applyAlignment="1">
      <alignment horizontal="center" vertical="center"/>
    </xf>
    <xf numFmtId="164" fontId="1" fillId="0" borderId="37" xfId="17" applyFont="1" applyBorder="1" applyAlignment="1">
      <alignment vertical="center"/>
    </xf>
    <xf numFmtId="164" fontId="4" fillId="2" borderId="0" xfId="17" applyFont="1" applyFill="1" applyAlignment="1">
      <alignment horizontal="center" vertical="center"/>
    </xf>
    <xf numFmtId="164" fontId="4" fillId="2" borderId="0" xfId="17" applyFont="1" applyFill="1" applyAlignment="1">
      <alignment vertical="center"/>
    </xf>
    <xf numFmtId="164" fontId="1" fillId="2" borderId="0" xfId="17" applyFont="1" applyFill="1" applyAlignment="1">
      <alignment horizontal="center" vertical="center"/>
    </xf>
    <xf numFmtId="164" fontId="1" fillId="2" borderId="0" xfId="17" applyFont="1" applyFill="1" applyAlignment="1">
      <alignment vertical="center"/>
    </xf>
    <xf numFmtId="0" fontId="7" fillId="2" borderId="6" xfId="0" applyFont="1" applyFill="1" applyBorder="1" applyAlignment="1">
      <alignment vertical="center" textRotation="180" wrapText="1"/>
    </xf>
    <xf numFmtId="0" fontId="7" fillId="2" borderId="10" xfId="0" applyFont="1" applyFill="1" applyBorder="1" applyAlignment="1">
      <alignment vertical="center" textRotation="180" wrapText="1"/>
    </xf>
    <xf numFmtId="167" fontId="3" fillId="2" borderId="12" xfId="18" applyFont="1" applyFill="1" applyBorder="1"/>
    <xf numFmtId="168" fontId="1" fillId="2" borderId="0" xfId="9" applyNumberFormat="1" applyFont="1" applyFill="1"/>
    <xf numFmtId="167" fontId="1" fillId="2" borderId="0" xfId="9" applyFont="1" applyFill="1" applyAlignment="1">
      <alignment horizontal="right" vertical="center"/>
    </xf>
    <xf numFmtId="167" fontId="12" fillId="2" borderId="0" xfId="9" applyFont="1" applyFill="1" applyAlignment="1">
      <alignment horizontal="right" vertical="center"/>
    </xf>
    <xf numFmtId="169" fontId="1" fillId="2" borderId="0" xfId="9" applyNumberFormat="1" applyFont="1" applyFill="1" applyAlignment="1">
      <alignment horizontal="center"/>
    </xf>
    <xf numFmtId="169" fontId="12" fillId="2" borderId="0" xfId="9" applyNumberFormat="1" applyFont="1" applyFill="1" applyAlignment="1">
      <alignment horizontal="center"/>
    </xf>
    <xf numFmtId="167" fontId="1" fillId="2" borderId="0" xfId="9" applyFont="1" applyFill="1" applyAlignment="1">
      <alignment horizontal="left"/>
    </xf>
    <xf numFmtId="167" fontId="1" fillId="2" borderId="0" xfId="9" applyFont="1" applyFill="1" applyBorder="1" applyAlignment="1">
      <alignment horizontal="justify" vertical="center"/>
    </xf>
    <xf numFmtId="167" fontId="1" fillId="2" borderId="0" xfId="9" applyFont="1" applyFill="1" applyBorder="1"/>
    <xf numFmtId="4" fontId="4" fillId="2" borderId="0" xfId="0" applyNumberFormat="1" applyFont="1" applyFill="1" applyBorder="1" applyAlignment="1">
      <alignment horizontal="right" vertical="center"/>
    </xf>
    <xf numFmtId="4" fontId="14" fillId="2" borderId="0" xfId="0" applyNumberFormat="1" applyFont="1" applyFill="1" applyBorder="1" applyAlignment="1">
      <alignment horizontal="right" vertical="center"/>
    </xf>
    <xf numFmtId="0" fontId="14" fillId="2" borderId="0" xfId="0" applyFont="1" applyFill="1" applyBorder="1"/>
    <xf numFmtId="167" fontId="12" fillId="2" borderId="0" xfId="9" applyFont="1" applyFill="1" applyBorder="1"/>
    <xf numFmtId="167" fontId="1" fillId="2" borderId="0" xfId="9" applyFont="1" applyFill="1" applyBorder="1" applyAlignment="1"/>
    <xf numFmtId="167" fontId="12" fillId="2" borderId="0" xfId="9" applyFont="1" applyFill="1" applyBorder="1" applyAlignment="1">
      <alignment horizontal="justify" vertical="center"/>
    </xf>
    <xf numFmtId="167" fontId="3" fillId="2" borderId="12" xfId="9" applyFont="1" applyFill="1" applyBorder="1"/>
    <xf numFmtId="185" fontId="1" fillId="2" borderId="0" xfId="0" applyNumberFormat="1" applyFont="1" applyFill="1"/>
    <xf numFmtId="49" fontId="1" fillId="2" borderId="0" xfId="0" applyNumberFormat="1" applyFont="1" applyFill="1"/>
    <xf numFmtId="0" fontId="1" fillId="2" borderId="0" xfId="0" applyFont="1" applyFill="1" applyAlignment="1">
      <alignment horizontal="right" vertical="center"/>
    </xf>
    <xf numFmtId="0" fontId="12" fillId="2" borderId="0" xfId="0" applyFont="1" applyFill="1" applyAlignment="1">
      <alignment horizontal="right" vertical="center"/>
    </xf>
    <xf numFmtId="1" fontId="12" fillId="0" borderId="13" xfId="0" applyNumberFormat="1" applyFont="1" applyBorder="1" applyAlignment="1">
      <alignment horizontal="center" vertical="center" textRotation="180"/>
    </xf>
    <xf numFmtId="168" fontId="12" fillId="0" borderId="1" xfId="0" applyNumberFormat="1" applyFont="1" applyBorder="1" applyAlignment="1">
      <alignment horizontal="center" vertical="center"/>
    </xf>
    <xf numFmtId="168" fontId="12" fillId="0" borderId="1" xfId="0" applyNumberFormat="1" applyFont="1" applyBorder="1" applyAlignment="1">
      <alignment vertical="center"/>
    </xf>
    <xf numFmtId="3" fontId="12" fillId="0" borderId="1" xfId="0" applyNumberFormat="1" applyFont="1" applyBorder="1" applyAlignment="1">
      <alignment vertical="center"/>
    </xf>
    <xf numFmtId="3" fontId="3" fillId="3" borderId="26" xfId="0" applyNumberFormat="1" applyFont="1" applyFill="1" applyBorder="1" applyAlignment="1">
      <alignment horizontal="center" vertical="center" wrapText="1"/>
    </xf>
    <xf numFmtId="3" fontId="3" fillId="3" borderId="28" xfId="0" applyNumberFormat="1" applyFont="1" applyFill="1" applyBorder="1" applyAlignment="1">
      <alignment horizontal="center" vertical="center" wrapText="1"/>
    </xf>
    <xf numFmtId="192" fontId="1" fillId="0" borderId="1" xfId="0" applyNumberFormat="1" applyFont="1" applyFill="1" applyBorder="1" applyAlignment="1">
      <alignment vertical="center" wrapText="1"/>
    </xf>
    <xf numFmtId="192"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justify" vertical="center"/>
    </xf>
    <xf numFmtId="169" fontId="1" fillId="0" borderId="0" xfId="0" applyNumberFormat="1" applyFont="1" applyFill="1" applyAlignment="1">
      <alignment horizontal="center"/>
    </xf>
    <xf numFmtId="193" fontId="1" fillId="0" borderId="0" xfId="0" applyNumberFormat="1" applyFont="1" applyFill="1" applyAlignment="1">
      <alignment horizontal="justify" vertical="center"/>
    </xf>
    <xf numFmtId="0" fontId="3" fillId="0" borderId="12" xfId="0" applyFont="1" applyFill="1" applyBorder="1"/>
    <xf numFmtId="0" fontId="1" fillId="0" borderId="0" xfId="0" applyFont="1" applyFill="1" applyBorder="1" applyAlignment="1">
      <alignment horizontal="center"/>
    </xf>
    <xf numFmtId="1" fontId="12" fillId="0" borderId="5" xfId="0" applyNumberFormat="1" applyFont="1" applyFill="1" applyBorder="1" applyAlignment="1">
      <alignment vertical="center" textRotation="180" wrapText="1"/>
    </xf>
    <xf numFmtId="1" fontId="12" fillId="0" borderId="14" xfId="0" applyNumberFormat="1" applyFont="1" applyFill="1" applyBorder="1" applyAlignment="1">
      <alignment vertical="center" textRotation="180" wrapText="1"/>
    </xf>
    <xf numFmtId="1" fontId="12" fillId="0" borderId="9" xfId="0" applyNumberFormat="1" applyFont="1" applyFill="1" applyBorder="1" applyAlignment="1">
      <alignment vertical="center" textRotation="180" wrapText="1"/>
    </xf>
    <xf numFmtId="0" fontId="12" fillId="0" borderId="1" xfId="0" applyFont="1" applyFill="1" applyBorder="1" applyAlignment="1">
      <alignment horizontal="center" vertical="center" textRotation="180" wrapText="1"/>
    </xf>
    <xf numFmtId="0" fontId="1" fillId="0" borderId="1" xfId="0" applyFont="1" applyFill="1" applyBorder="1" applyAlignment="1">
      <alignment horizontal="center" vertical="center" textRotation="180" wrapText="1"/>
    </xf>
    <xf numFmtId="1" fontId="7" fillId="0" borderId="1" xfId="0" applyNumberFormat="1" applyFont="1" applyFill="1" applyBorder="1" applyAlignment="1">
      <alignment horizontal="center" vertical="center" textRotation="180" wrapText="1"/>
    </xf>
    <xf numFmtId="0" fontId="12" fillId="0" borderId="1" xfId="0" applyFont="1" applyFill="1" applyBorder="1"/>
    <xf numFmtId="0" fontId="7" fillId="0" borderId="1" xfId="0" applyFont="1" applyFill="1" applyBorder="1"/>
    <xf numFmtId="44" fontId="3" fillId="3" borderId="15" xfId="14" applyFont="1" applyFill="1" applyBorder="1" applyAlignment="1">
      <alignment horizontal="center" vertical="center" wrapText="1"/>
    </xf>
    <xf numFmtId="44" fontId="3" fillId="6" borderId="11" xfId="14" applyFont="1" applyFill="1" applyBorder="1" applyAlignment="1">
      <alignment vertical="center"/>
    </xf>
    <xf numFmtId="44" fontId="3" fillId="11" borderId="11" xfId="14" applyFont="1" applyFill="1" applyBorder="1" applyAlignment="1">
      <alignment vertical="center"/>
    </xf>
    <xf numFmtId="44" fontId="3" fillId="8" borderId="11" xfId="14" applyFont="1" applyFill="1" applyBorder="1" applyAlignment="1">
      <alignment vertical="center"/>
    </xf>
    <xf numFmtId="44" fontId="3" fillId="11" borderId="11" xfId="14" applyFont="1" applyFill="1" applyBorder="1" applyAlignment="1">
      <alignment horizontal="justify" vertical="center"/>
    </xf>
    <xf numFmtId="44" fontId="3" fillId="8" borderId="11" xfId="14" applyFont="1" applyFill="1" applyBorder="1" applyAlignment="1">
      <alignment horizontal="justify" vertical="center"/>
    </xf>
    <xf numFmtId="0" fontId="3" fillId="8" borderId="7"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7" fillId="2" borderId="8" xfId="0" applyFont="1" applyFill="1" applyBorder="1" applyAlignment="1">
      <alignment vertical="center" wrapText="1"/>
    </xf>
    <xf numFmtId="44" fontId="1" fillId="8" borderId="13" xfId="14" applyFont="1" applyFill="1" applyBorder="1" applyAlignment="1">
      <alignment horizontal="center" vertical="center" wrapText="1"/>
    </xf>
    <xf numFmtId="44" fontId="3" fillId="11" borderId="2" xfId="14" applyFont="1" applyFill="1" applyBorder="1" applyAlignment="1">
      <alignment horizontal="justify" vertical="center"/>
    </xf>
    <xf numFmtId="44" fontId="3" fillId="8" borderId="12" xfId="14" applyFont="1" applyFill="1" applyBorder="1" applyAlignment="1">
      <alignment horizontal="justify" vertical="center"/>
    </xf>
    <xf numFmtId="44" fontId="3" fillId="8" borderId="2" xfId="14" applyFont="1" applyFill="1" applyBorder="1" applyAlignment="1">
      <alignment horizontal="justify" vertical="center"/>
    </xf>
    <xf numFmtId="44" fontId="1" fillId="0" borderId="0" xfId="14" applyFont="1" applyAlignment="1"/>
    <xf numFmtId="0" fontId="32" fillId="0" borderId="0" xfId="0" applyFont="1" applyFill="1" applyAlignment="1">
      <alignment vertical="center"/>
    </xf>
    <xf numFmtId="182" fontId="32" fillId="0" borderId="0" xfId="0" applyNumberFormat="1" applyFont="1" applyFill="1" applyAlignment="1">
      <alignment horizontal="right" vertical="center"/>
    </xf>
    <xf numFmtId="169" fontId="1" fillId="0" borderId="1" xfId="0" applyNumberFormat="1" applyFont="1" applyFill="1" applyBorder="1" applyAlignment="1">
      <alignment vertical="center" wrapText="1"/>
    </xf>
    <xf numFmtId="3" fontId="11" fillId="3" borderId="42" xfId="0" applyNumberFormat="1" applyFont="1" applyFill="1" applyBorder="1" applyAlignment="1">
      <alignment horizontal="center" vertical="center" wrapText="1"/>
    </xf>
    <xf numFmtId="172" fontId="11" fillId="10" borderId="1" xfId="8" applyNumberFormat="1" applyFont="1" applyFill="1" applyBorder="1" applyAlignment="1">
      <alignment horizontal="center" vertical="center" wrapText="1"/>
    </xf>
    <xf numFmtId="9" fontId="11" fillId="10" borderId="6" xfId="3" applyFont="1" applyFill="1" applyBorder="1" applyAlignment="1">
      <alignment horizontal="center" vertical="center" wrapText="1"/>
    </xf>
    <xf numFmtId="165" fontId="1" fillId="2" borderId="6" xfId="15" applyFont="1" applyFill="1" applyBorder="1" applyAlignment="1">
      <alignment horizontal="justify" vertical="center"/>
    </xf>
    <xf numFmtId="0" fontId="3" fillId="11" borderId="0" xfId="0" applyFont="1" applyFill="1" applyBorder="1" applyAlignment="1">
      <alignment horizontal="justify" vertical="center"/>
    </xf>
    <xf numFmtId="0" fontId="3" fillId="8" borderId="0" xfId="0" applyFont="1" applyFill="1" applyBorder="1" applyAlignment="1">
      <alignment horizontal="justify" vertical="center"/>
    </xf>
    <xf numFmtId="0" fontId="3" fillId="11" borderId="11" xfId="0" applyFont="1" applyFill="1" applyBorder="1" applyAlignment="1">
      <alignment horizontal="justify" vertical="center" wrapText="1"/>
    </xf>
    <xf numFmtId="0" fontId="3" fillId="11" borderId="12" xfId="0" applyFont="1" applyFill="1" applyBorder="1" applyAlignment="1">
      <alignment horizontal="justify" vertical="center"/>
    </xf>
    <xf numFmtId="0" fontId="1" fillId="11" borderId="11" xfId="0" applyFont="1" applyFill="1" applyBorder="1" applyAlignment="1">
      <alignment horizontal="justify" vertical="center"/>
    </xf>
    <xf numFmtId="170" fontId="1" fillId="0" borderId="0" xfId="0" applyNumberFormat="1" applyFont="1" applyFill="1" applyBorder="1" applyAlignment="1">
      <alignment horizontal="justify"/>
    </xf>
    <xf numFmtId="0" fontId="3" fillId="11" borderId="0" xfId="0" applyFont="1" applyFill="1" applyBorder="1" applyAlignment="1">
      <alignment horizontal="center" vertical="center"/>
    </xf>
    <xf numFmtId="0" fontId="3" fillId="8" borderId="0" xfId="0" applyFont="1" applyFill="1" applyBorder="1" applyAlignment="1">
      <alignment horizontal="center" vertical="center"/>
    </xf>
    <xf numFmtId="0" fontId="3" fillId="11" borderId="12" xfId="0" applyFont="1" applyFill="1" applyBorder="1" applyAlignment="1">
      <alignment horizontal="center" vertical="center"/>
    </xf>
    <xf numFmtId="0" fontId="1" fillId="11" borderId="11" xfId="0" applyFont="1" applyFill="1" applyBorder="1" applyAlignment="1">
      <alignment horizontal="center" vertical="center"/>
    </xf>
    <xf numFmtId="0" fontId="1" fillId="0" borderId="39" xfId="0" applyFont="1" applyBorder="1" applyAlignment="1">
      <alignment horizontal="justify"/>
    </xf>
    <xf numFmtId="0" fontId="1" fillId="0" borderId="0" xfId="0" applyFont="1" applyAlignment="1">
      <alignment horizontal="justify"/>
    </xf>
    <xf numFmtId="0" fontId="1" fillId="0" borderId="41" xfId="0" applyFont="1" applyBorder="1" applyAlignment="1">
      <alignment horizontal="justify"/>
    </xf>
    <xf numFmtId="0" fontId="1" fillId="0" borderId="0" xfId="0" applyFont="1" applyFill="1" applyBorder="1" applyAlignment="1">
      <alignment horizontal="justify"/>
    </xf>
    <xf numFmtId="0" fontId="3" fillId="3" borderId="15"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1" fillId="2" borderId="40" xfId="0" applyFont="1" applyFill="1" applyBorder="1" applyAlignment="1">
      <alignment horizontal="justify"/>
    </xf>
    <xf numFmtId="0" fontId="1" fillId="2" borderId="39" xfId="0" applyFont="1" applyFill="1" applyBorder="1" applyAlignment="1">
      <alignment horizontal="justify"/>
    </xf>
    <xf numFmtId="0" fontId="1" fillId="2" borderId="0" xfId="0" applyFont="1" applyFill="1" applyAlignment="1">
      <alignment horizontal="justify"/>
    </xf>
    <xf numFmtId="0" fontId="1" fillId="0" borderId="0" xfId="0" applyFont="1" applyFill="1" applyAlignment="1">
      <alignment horizontal="justify"/>
    </xf>
    <xf numFmtId="0" fontId="27" fillId="0" borderId="1" xfId="0" applyFont="1" applyFill="1" applyBorder="1" applyAlignment="1">
      <alignment horizontal="justify" vertical="center"/>
    </xf>
    <xf numFmtId="0" fontId="1" fillId="0" borderId="1" xfId="0" applyFont="1" applyFill="1" applyBorder="1" applyAlignment="1">
      <alignment horizontal="right" vertical="center" wrapText="1"/>
    </xf>
    <xf numFmtId="0" fontId="1" fillId="0" borderId="0" xfId="0" applyFont="1" applyFill="1" applyAlignment="1">
      <alignment horizontal="right"/>
    </xf>
    <xf numFmtId="0" fontId="1" fillId="0" borderId="1" xfId="0" applyFont="1" applyFill="1" applyBorder="1" applyAlignment="1">
      <alignment vertical="center"/>
    </xf>
    <xf numFmtId="0" fontId="1" fillId="0" borderId="6" xfId="0" applyFont="1" applyFill="1" applyBorder="1" applyAlignment="1">
      <alignment horizontal="center" wrapText="1"/>
    </xf>
    <xf numFmtId="0" fontId="7" fillId="0" borderId="1" xfId="0" applyFont="1" applyFill="1" applyBorder="1" applyAlignment="1">
      <alignment horizontal="justify" wrapText="1"/>
    </xf>
    <xf numFmtId="0" fontId="38" fillId="0" borderId="1" xfId="0" applyFont="1" applyFill="1" applyBorder="1" applyAlignment="1">
      <alignment horizontal="justify" vertical="center"/>
    </xf>
    <xf numFmtId="0" fontId="7" fillId="0" borderId="1" xfId="0" applyFont="1" applyFill="1" applyBorder="1" applyAlignment="1">
      <alignment wrapText="1"/>
    </xf>
    <xf numFmtId="0" fontId="1" fillId="0" borderId="6" xfId="0" applyFont="1" applyFill="1" applyBorder="1" applyAlignment="1">
      <alignment wrapText="1"/>
    </xf>
    <xf numFmtId="15" fontId="1" fillId="0" borderId="6" xfId="0" applyNumberFormat="1" applyFont="1" applyFill="1" applyBorder="1" applyAlignment="1">
      <alignment horizontal="center" vertical="center" wrapText="1"/>
    </xf>
    <xf numFmtId="0" fontId="3" fillId="0" borderId="39" xfId="0" applyFont="1" applyFill="1" applyBorder="1" applyAlignment="1">
      <alignment vertical="center"/>
    </xf>
    <xf numFmtId="0" fontId="3" fillId="0" borderId="41" xfId="0" applyFont="1" applyFill="1" applyBorder="1" applyAlignment="1">
      <alignment vertical="center"/>
    </xf>
    <xf numFmtId="168" fontId="1" fillId="0" borderId="0" xfId="0" applyNumberFormat="1" applyFont="1" applyFill="1" applyAlignment="1">
      <alignment horizontal="right"/>
    </xf>
    <xf numFmtId="3" fontId="1" fillId="0" borderId="0" xfId="0" applyNumberFormat="1" applyFont="1" applyFill="1"/>
    <xf numFmtId="168" fontId="1" fillId="0" borderId="0" xfId="0" applyNumberFormat="1" applyFont="1" applyFill="1"/>
    <xf numFmtId="3" fontId="1" fillId="0" borderId="0" xfId="0" applyNumberFormat="1" applyFont="1" applyFill="1" applyAlignment="1">
      <alignment horizontal="right"/>
    </xf>
    <xf numFmtId="0" fontId="1" fillId="0" borderId="12" xfId="0" applyFont="1" applyFill="1" applyBorder="1"/>
    <xf numFmtId="0" fontId="27" fillId="0" borderId="0" xfId="0" applyFont="1" applyFill="1"/>
    <xf numFmtId="0" fontId="12" fillId="0" borderId="0" xfId="0" applyFont="1" applyFill="1"/>
    <xf numFmtId="168" fontId="12" fillId="0" borderId="0" xfId="0" applyNumberFormat="1" applyFont="1" applyFill="1"/>
    <xf numFmtId="0" fontId="40" fillId="0" borderId="0" xfId="0" applyFont="1" applyFill="1"/>
    <xf numFmtId="0" fontId="12" fillId="0" borderId="1" xfId="0" applyFont="1" applyFill="1" applyBorder="1" applyAlignment="1">
      <alignment wrapText="1"/>
    </xf>
    <xf numFmtId="0" fontId="13" fillId="0" borderId="39" xfId="0" applyFont="1" applyFill="1" applyBorder="1" applyAlignment="1">
      <alignment vertical="center"/>
    </xf>
    <xf numFmtId="0" fontId="12" fillId="0" borderId="6" xfId="0" applyFont="1" applyFill="1" applyBorder="1" applyAlignment="1">
      <alignment wrapText="1"/>
    </xf>
    <xf numFmtId="181" fontId="12" fillId="0" borderId="1" xfId="0" applyNumberFormat="1" applyFont="1" applyFill="1" applyBorder="1" applyAlignment="1">
      <alignment horizontal="center" vertical="center" wrapText="1"/>
    </xf>
    <xf numFmtId="0" fontId="13" fillId="0" borderId="12" xfId="0" applyFont="1" applyFill="1" applyBorder="1"/>
    <xf numFmtId="0" fontId="3" fillId="0" borderId="40" xfId="0" applyFont="1" applyFill="1" applyBorder="1" applyAlignment="1">
      <alignment horizontal="justify" vertical="center"/>
    </xf>
    <xf numFmtId="0" fontId="3" fillId="0" borderId="39" xfId="0" applyFont="1" applyFill="1" applyBorder="1" applyAlignment="1">
      <alignment horizontal="justify" vertical="center"/>
    </xf>
    <xf numFmtId="0" fontId="3" fillId="0" borderId="41" xfId="0" applyFont="1" applyFill="1" applyBorder="1" applyAlignment="1">
      <alignment horizontal="justify" vertical="center"/>
    </xf>
    <xf numFmtId="3" fontId="1" fillId="0" borderId="0" xfId="0" applyNumberFormat="1" applyFont="1" applyFill="1" applyAlignment="1">
      <alignment horizontal="justify"/>
    </xf>
    <xf numFmtId="0" fontId="27" fillId="0" borderId="0" xfId="0" applyFont="1" applyFill="1" applyAlignment="1">
      <alignment horizontal="justify"/>
    </xf>
    <xf numFmtId="164" fontId="3" fillId="0" borderId="39" xfId="17" applyFont="1" applyFill="1" applyBorder="1" applyAlignment="1">
      <alignment vertical="center"/>
    </xf>
    <xf numFmtId="0" fontId="36" fillId="10" borderId="13" xfId="0" applyNumberFormat="1" applyFont="1" applyFill="1" applyBorder="1" applyAlignment="1">
      <alignment horizontal="center" vertical="center" wrapText="1"/>
    </xf>
    <xf numFmtId="0" fontId="37" fillId="10" borderId="13" xfId="0" applyNumberFormat="1" applyFont="1" applyFill="1" applyBorder="1" applyAlignment="1">
      <alignment horizontal="center" vertical="center" wrapText="1"/>
    </xf>
    <xf numFmtId="0" fontId="30" fillId="10" borderId="4" xfId="0" applyFont="1" applyFill="1" applyBorder="1" applyAlignment="1">
      <alignment horizontal="center" vertical="center" textRotation="255"/>
    </xf>
    <xf numFmtId="0" fontId="31" fillId="10" borderId="4" xfId="0" applyFont="1" applyFill="1" applyBorder="1" applyAlignment="1">
      <alignment horizontal="center" vertical="center" textRotation="255"/>
    </xf>
    <xf numFmtId="181" fontId="36" fillId="10" borderId="6" xfId="0" applyNumberFormat="1" applyFont="1" applyFill="1" applyBorder="1" applyAlignment="1">
      <alignment horizontal="center" vertical="center" wrapText="1"/>
    </xf>
    <xf numFmtId="181" fontId="37" fillId="10" borderId="6" xfId="0" applyNumberFormat="1" applyFont="1" applyFill="1" applyBorder="1" applyAlignment="1">
      <alignment horizontal="center" vertical="center" wrapText="1"/>
    </xf>
    <xf numFmtId="0" fontId="3" fillId="10" borderId="6" xfId="0" applyFont="1" applyFill="1" applyBorder="1" applyAlignment="1">
      <alignment vertical="center" wrapText="1"/>
    </xf>
    <xf numFmtId="0" fontId="3" fillId="10" borderId="13" xfId="0" applyFont="1" applyFill="1" applyBorder="1" applyAlignment="1">
      <alignment vertical="center" wrapText="1"/>
    </xf>
    <xf numFmtId="0" fontId="13" fillId="10" borderId="6"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6" borderId="23" xfId="0" applyFont="1" applyFill="1" applyBorder="1" applyAlignment="1">
      <alignment horizontal="left" vertical="center"/>
    </xf>
    <xf numFmtId="0" fontId="3" fillId="6" borderId="24"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11" borderId="10" xfId="0" applyFont="1" applyFill="1" applyBorder="1" applyAlignment="1">
      <alignment horizontal="center" vertical="center" wrapText="1"/>
    </xf>
    <xf numFmtId="0" fontId="3" fillId="11" borderId="47" xfId="0" applyFont="1" applyFill="1" applyBorder="1" applyAlignment="1">
      <alignment vertical="center"/>
    </xf>
    <xf numFmtId="0" fontId="1" fillId="2" borderId="6" xfId="0" applyFont="1" applyFill="1" applyBorder="1" applyAlignment="1">
      <alignment vertical="center" wrapText="1"/>
    </xf>
    <xf numFmtId="170" fontId="1" fillId="0" borderId="10" xfId="10" applyNumberFormat="1" applyFont="1" applyFill="1" applyBorder="1" applyAlignment="1">
      <alignment horizontal="center" vertical="center" wrapText="1"/>
    </xf>
    <xf numFmtId="170" fontId="7" fillId="0" borderId="1" xfId="10" applyNumberFormat="1" applyFont="1" applyFill="1" applyBorder="1" applyAlignment="1">
      <alignment horizontal="center" vertical="center" wrapText="1"/>
    </xf>
    <xf numFmtId="170" fontId="1" fillId="0" borderId="1" xfId="10" applyNumberFormat="1" applyFont="1" applyFill="1" applyBorder="1" applyAlignment="1">
      <alignment horizontal="center" vertical="center" wrapText="1"/>
    </xf>
    <xf numFmtId="0" fontId="12" fillId="2" borderId="10" xfId="0" applyFont="1" applyFill="1" applyBorder="1" applyAlignment="1"/>
    <xf numFmtId="170" fontId="7" fillId="0" borderId="1" xfId="6" applyNumberFormat="1" applyFont="1" applyFill="1" applyBorder="1" applyAlignment="1">
      <alignment horizontal="center" vertical="center" wrapText="1"/>
    </xf>
    <xf numFmtId="195" fontId="1" fillId="0" borderId="6" xfId="0" applyNumberFormat="1" applyFont="1" applyFill="1" applyBorder="1" applyAlignment="1">
      <alignment horizontal="center" vertical="center" wrapText="1"/>
    </xf>
    <xf numFmtId="170" fontId="1" fillId="0" borderId="1" xfId="0" applyNumberFormat="1" applyFont="1" applyFill="1" applyBorder="1" applyAlignment="1">
      <alignment horizontal="center" vertical="center"/>
    </xf>
    <xf numFmtId="0" fontId="1" fillId="0" borderId="6" xfId="0" applyFont="1" applyFill="1" applyBorder="1" applyAlignment="1"/>
    <xf numFmtId="0" fontId="12" fillId="0" borderId="6" xfId="0" applyFont="1" applyFill="1" applyBorder="1" applyAlignment="1"/>
    <xf numFmtId="0" fontId="1" fillId="0" borderId="13" xfId="0" applyFont="1" applyFill="1" applyBorder="1" applyAlignment="1"/>
    <xf numFmtId="0" fontId="12" fillId="0" borderId="13" xfId="0" applyFont="1" applyFill="1" applyBorder="1" applyAlignment="1"/>
    <xf numFmtId="195" fontId="1" fillId="0" borderId="1" xfId="0" applyNumberFormat="1" applyFont="1" applyFill="1" applyBorder="1" applyAlignment="1">
      <alignment horizontal="center" vertical="center" wrapText="1"/>
    </xf>
    <xf numFmtId="0" fontId="1" fillId="0" borderId="10" xfId="0" applyFont="1" applyFill="1" applyBorder="1" applyAlignment="1"/>
    <xf numFmtId="0" fontId="12" fillId="0" borderId="10" xfId="0" applyFont="1" applyFill="1" applyBorder="1" applyAlignment="1"/>
    <xf numFmtId="170" fontId="1" fillId="0" borderId="6" xfId="10" applyNumberFormat="1" applyFont="1" applyFill="1" applyBorder="1" applyAlignment="1">
      <alignment horizontal="center" vertical="center" wrapText="1"/>
    </xf>
    <xf numFmtId="194" fontId="35" fillId="0" borderId="1" xfId="0" applyNumberFormat="1" applyFont="1" applyFill="1" applyBorder="1" applyAlignment="1">
      <alignment horizontal="center" vertical="center" wrapText="1"/>
    </xf>
    <xf numFmtId="194" fontId="0" fillId="0" borderId="1" xfId="0" applyNumberFormat="1" applyFont="1" applyFill="1" applyBorder="1" applyAlignment="1">
      <alignment horizontal="center" vertical="center" wrapText="1"/>
    </xf>
    <xf numFmtId="195" fontId="20"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183" fontId="1" fillId="2" borderId="1" xfId="0" applyNumberFormat="1" applyFont="1" applyFill="1" applyBorder="1" applyAlignment="1">
      <alignment vertical="center" wrapText="1"/>
    </xf>
    <xf numFmtId="10" fontId="1" fillId="2" borderId="1" xfId="5" applyNumberFormat="1" applyFont="1" applyFill="1" applyBorder="1" applyAlignment="1">
      <alignment vertical="center" wrapText="1"/>
    </xf>
    <xf numFmtId="14" fontId="1" fillId="2" borderId="1" xfId="0" applyNumberFormat="1" applyFont="1" applyFill="1" applyBorder="1" applyAlignment="1">
      <alignment vertical="center" wrapText="1"/>
    </xf>
    <xf numFmtId="14" fontId="12" fillId="2" borderId="1" xfId="0" applyNumberFormat="1" applyFont="1" applyFill="1" applyBorder="1" applyAlignment="1">
      <alignment vertical="center" wrapText="1"/>
    </xf>
    <xf numFmtId="0" fontId="20" fillId="0" borderId="6" xfId="0" applyFont="1" applyFill="1" applyBorder="1" applyAlignment="1">
      <alignment horizontal="justify" vertical="center" wrapText="1"/>
    </xf>
    <xf numFmtId="183" fontId="1" fillId="0" borderId="10" xfId="0" applyNumberFormat="1" applyFont="1" applyFill="1" applyBorder="1" applyAlignment="1">
      <alignment vertical="center" wrapText="1"/>
    </xf>
    <xf numFmtId="10" fontId="1" fillId="0" borderId="10" xfId="5" applyNumberFormat="1" applyFont="1" applyFill="1" applyBorder="1" applyAlignment="1">
      <alignment vertical="center" wrapText="1"/>
    </xf>
    <xf numFmtId="14" fontId="1" fillId="0" borderId="1" xfId="0" applyNumberFormat="1" applyFont="1" applyFill="1" applyBorder="1" applyAlignment="1">
      <alignment vertical="center" wrapText="1"/>
    </xf>
    <xf numFmtId="14" fontId="12" fillId="0" borderId="1" xfId="0" applyNumberFormat="1" applyFont="1" applyFill="1" applyBorder="1" applyAlignment="1">
      <alignment vertical="center" wrapText="1"/>
    </xf>
    <xf numFmtId="170" fontId="1" fillId="0" borderId="8" xfId="10" applyNumberFormat="1" applyFont="1" applyFill="1" applyBorder="1" applyAlignment="1">
      <alignment horizontal="center" vertical="center" wrapText="1"/>
    </xf>
    <xf numFmtId="170" fontId="1" fillId="0" borderId="7" xfId="10" applyNumberFormat="1" applyFont="1" applyFill="1" applyBorder="1" applyAlignment="1">
      <alignment horizontal="center" vertical="center" wrapText="1"/>
    </xf>
    <xf numFmtId="195" fontId="1" fillId="2" borderId="6" xfId="10" applyNumberFormat="1" applyFont="1" applyFill="1" applyBorder="1" applyAlignment="1">
      <alignment vertical="center"/>
    </xf>
    <xf numFmtId="195" fontId="12" fillId="2" borderId="6" xfId="10" applyNumberFormat="1" applyFont="1" applyFill="1" applyBorder="1" applyAlignment="1">
      <alignment vertical="center"/>
    </xf>
    <xf numFmtId="0" fontId="1" fillId="2" borderId="6" xfId="0" applyFont="1" applyFill="1" applyBorder="1" applyAlignment="1"/>
    <xf numFmtId="0" fontId="12" fillId="2" borderId="6" xfId="0" applyFont="1" applyFill="1" applyBorder="1" applyAlignment="1"/>
    <xf numFmtId="183" fontId="1" fillId="2" borderId="1" xfId="0" applyNumberFormat="1" applyFont="1" applyFill="1" applyBorder="1" applyAlignment="1">
      <alignment horizontal="center" vertical="center"/>
    </xf>
    <xf numFmtId="195" fontId="12" fillId="2" borderId="10" xfId="10" applyNumberFormat="1" applyFont="1" applyFill="1" applyBorder="1" applyAlignment="1">
      <alignment vertical="center"/>
    </xf>
    <xf numFmtId="0" fontId="1" fillId="2" borderId="10" xfId="0" applyFont="1" applyFill="1" applyBorder="1" applyAlignment="1"/>
    <xf numFmtId="0" fontId="3" fillId="11" borderId="13" xfId="0" applyFont="1" applyFill="1" applyBorder="1" applyAlignment="1">
      <alignment horizontal="center" vertical="center" wrapText="1"/>
    </xf>
    <xf numFmtId="195" fontId="7" fillId="2" borderId="1" xfId="0" applyNumberFormat="1" applyFont="1" applyFill="1" applyBorder="1" applyAlignment="1">
      <alignment horizontal="center" vertical="center" wrapText="1"/>
    </xf>
    <xf numFmtId="195" fontId="7" fillId="2" borderId="6" xfId="0" applyNumberFormat="1" applyFont="1" applyFill="1" applyBorder="1" applyAlignment="1">
      <alignment horizontal="center" vertical="center" wrapText="1"/>
    </xf>
    <xf numFmtId="171" fontId="7" fillId="2" borderId="6" xfId="6" applyFont="1" applyFill="1" applyBorder="1" applyAlignment="1">
      <alignment horizontal="justify" vertical="center" wrapText="1"/>
    </xf>
    <xf numFmtId="170" fontId="7" fillId="0" borderId="8" xfId="10" applyNumberFormat="1" applyFont="1" applyFill="1" applyBorder="1" applyAlignment="1">
      <alignment horizontal="center" vertical="center" wrapText="1"/>
    </xf>
    <xf numFmtId="170" fontId="7" fillId="0" borderId="7" xfId="10" applyNumberFormat="1" applyFont="1" applyFill="1" applyBorder="1" applyAlignment="1">
      <alignment horizontal="center" vertical="center" wrapText="1"/>
    </xf>
    <xf numFmtId="0" fontId="0" fillId="2" borderId="1" xfId="0" applyFont="1" applyFill="1" applyBorder="1" applyAlignment="1">
      <alignment horizontal="justify" vertical="center" wrapText="1"/>
    </xf>
    <xf numFmtId="170" fontId="1" fillId="0" borderId="1" xfId="10" applyNumberFormat="1" applyFont="1" applyFill="1" applyBorder="1" applyAlignment="1">
      <alignment horizontal="center" vertical="center" wrapText="1" readingOrder="1"/>
    </xf>
    <xf numFmtId="195" fontId="1" fillId="2" borderId="1" xfId="0" applyNumberFormat="1" applyFont="1" applyFill="1" applyBorder="1" applyAlignment="1">
      <alignment horizontal="center" vertical="center" wrapText="1"/>
    </xf>
    <xf numFmtId="0" fontId="1" fillId="2" borderId="6" xfId="0" applyFont="1" applyFill="1" applyBorder="1" applyAlignment="1">
      <alignment wrapText="1"/>
    </xf>
    <xf numFmtId="0" fontId="12" fillId="2" borderId="6" xfId="0" applyFont="1" applyFill="1" applyBorder="1" applyAlignment="1">
      <alignment wrapText="1"/>
    </xf>
    <xf numFmtId="3" fontId="1" fillId="2" borderId="6" xfId="0" applyNumberFormat="1" applyFont="1" applyFill="1" applyBorder="1" applyAlignment="1">
      <alignment vertical="center"/>
    </xf>
    <xf numFmtId="3" fontId="12" fillId="2" borderId="6" xfId="0" applyNumberFormat="1" applyFont="1" applyFill="1" applyBorder="1" applyAlignment="1">
      <alignment vertical="center"/>
    </xf>
    <xf numFmtId="170" fontId="1" fillId="2" borderId="1" xfId="10" applyNumberFormat="1" applyFont="1" applyFill="1" applyBorder="1" applyAlignment="1">
      <alignment horizontal="center" vertical="center" wrapText="1"/>
    </xf>
    <xf numFmtId="194" fontId="1" fillId="2" borderId="1" xfId="0" applyNumberFormat="1" applyFont="1" applyFill="1" applyBorder="1" applyAlignment="1">
      <alignment horizontal="center" vertical="center" wrapText="1"/>
    </xf>
    <xf numFmtId="170" fontId="29" fillId="0" borderId="1" xfId="10" applyNumberFormat="1" applyFont="1" applyFill="1" applyBorder="1" applyAlignment="1">
      <alignment horizontal="center" vertical="center" wrapText="1"/>
    </xf>
    <xf numFmtId="0" fontId="20" fillId="2" borderId="44" xfId="0" applyFont="1" applyFill="1" applyBorder="1" applyAlignment="1">
      <alignment horizontal="center" vertical="center" wrapText="1"/>
    </xf>
    <xf numFmtId="0" fontId="7" fillId="2" borderId="18" xfId="0" applyFont="1" applyFill="1" applyBorder="1" applyAlignment="1">
      <alignment horizontal="justify" vertical="center" wrapText="1"/>
    </xf>
    <xf numFmtId="0" fontId="1" fillId="2" borderId="18"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174" fontId="20" fillId="2" borderId="17" xfId="0" applyNumberFormat="1" applyFont="1" applyFill="1" applyBorder="1" applyAlignment="1">
      <alignment horizontal="center" vertical="center" wrapText="1"/>
    </xf>
    <xf numFmtId="0" fontId="20" fillId="2" borderId="18" xfId="0" applyFont="1" applyFill="1" applyBorder="1" applyAlignment="1">
      <alignment horizontal="center" vertical="center" wrapText="1"/>
    </xf>
    <xf numFmtId="170" fontId="3" fillId="0" borderId="67" xfId="0" applyNumberFormat="1" applyFont="1" applyFill="1" applyBorder="1" applyAlignment="1">
      <alignment vertical="center" wrapText="1"/>
    </xf>
    <xf numFmtId="170" fontId="20" fillId="2" borderId="57" xfId="0" applyNumberFormat="1" applyFont="1" applyFill="1" applyBorder="1" applyAlignment="1">
      <alignment vertical="center" wrapText="1"/>
    </xf>
    <xf numFmtId="0" fontId="20" fillId="2" borderId="37" xfId="0" applyFont="1" applyFill="1" applyBorder="1" applyAlignment="1">
      <alignment vertical="center" wrapText="1"/>
    </xf>
    <xf numFmtId="0" fontId="20" fillId="2" borderId="63" xfId="0" applyFont="1" applyFill="1" applyBorder="1" applyAlignment="1">
      <alignment vertical="center" wrapText="1"/>
    </xf>
    <xf numFmtId="170" fontId="3" fillId="0" borderId="48" xfId="0" applyNumberFormat="1" applyFont="1" applyFill="1" applyBorder="1" applyAlignment="1">
      <alignment vertical="center" wrapText="1"/>
    </xf>
    <xf numFmtId="0" fontId="20" fillId="2" borderId="57" xfId="0" applyFont="1" applyFill="1" applyBorder="1" applyAlignment="1">
      <alignment vertical="center" wrapText="1"/>
    </xf>
    <xf numFmtId="0" fontId="12" fillId="2" borderId="37" xfId="0" applyFont="1" applyFill="1" applyBorder="1" applyAlignment="1">
      <alignment vertical="center" wrapText="1"/>
    </xf>
    <xf numFmtId="9" fontId="9" fillId="2" borderId="48" xfId="5" applyFont="1" applyFill="1" applyBorder="1" applyAlignment="1">
      <alignment horizontal="center" vertical="center" wrapText="1"/>
    </xf>
    <xf numFmtId="0" fontId="1" fillId="0" borderId="0" xfId="0" applyNumberFormat="1" applyFont="1" applyAlignment="1">
      <alignment wrapText="1"/>
    </xf>
    <xf numFmtId="0" fontId="1" fillId="0" borderId="0" xfId="0" applyNumberFormat="1" applyFont="1" applyBorder="1" applyAlignment="1">
      <alignment horizontal="center" wrapText="1"/>
    </xf>
    <xf numFmtId="0" fontId="20" fillId="0" borderId="0" xfId="0" applyFont="1" applyFill="1" applyBorder="1" applyAlignment="1">
      <alignment vertical="center" wrapText="1"/>
    </xf>
    <xf numFmtId="0" fontId="1" fillId="0" borderId="0" xfId="0" applyNumberFormat="1" applyFont="1" applyBorder="1" applyAlignment="1">
      <alignment wrapText="1"/>
    </xf>
    <xf numFmtId="0" fontId="12" fillId="0" borderId="0" xfId="0" applyNumberFormat="1" applyFont="1" applyBorder="1" applyAlignment="1">
      <alignment wrapText="1"/>
    </xf>
    <xf numFmtId="0" fontId="1" fillId="0" borderId="0" xfId="0" applyFont="1" applyBorder="1" applyAlignment="1">
      <alignment wrapText="1"/>
    </xf>
    <xf numFmtId="170" fontId="3" fillId="0" borderId="0" xfId="0" applyNumberFormat="1" applyFont="1" applyBorder="1" applyAlignment="1">
      <alignment wrapText="1"/>
    </xf>
    <xf numFmtId="170" fontId="1" fillId="0" borderId="0" xfId="0" applyNumberFormat="1" applyFont="1" applyAlignment="1">
      <alignment horizontal="center" vertical="center" wrapText="1"/>
    </xf>
    <xf numFmtId="170" fontId="12" fillId="0" borderId="0" xfId="0" applyNumberFormat="1" applyFont="1" applyAlignment="1">
      <alignment horizontal="center" vertical="center" wrapText="1"/>
    </xf>
    <xf numFmtId="0" fontId="12" fillId="0" borderId="0" xfId="0" applyFont="1" applyAlignment="1">
      <alignment wrapText="1"/>
    </xf>
    <xf numFmtId="0" fontId="1" fillId="0" borderId="0" xfId="0" applyFont="1" applyAlignment="1">
      <alignment horizontal="center" vertical="center" wrapText="1"/>
    </xf>
    <xf numFmtId="170" fontId="1" fillId="0" borderId="0" xfId="0" applyNumberFormat="1" applyFont="1" applyFill="1" applyAlignment="1">
      <alignment vertical="top" wrapText="1"/>
    </xf>
    <xf numFmtId="170" fontId="12" fillId="0" borderId="0" xfId="0" applyNumberFormat="1" applyFont="1" applyFill="1" applyAlignment="1">
      <alignment wrapText="1"/>
    </xf>
    <xf numFmtId="43" fontId="0" fillId="0" borderId="0" xfId="13" applyFont="1" applyFill="1" applyBorder="1" applyAlignment="1">
      <alignment vertical="center"/>
    </xf>
    <xf numFmtId="0" fontId="1" fillId="0" borderId="0" xfId="0" applyNumberFormat="1" applyFont="1" applyAlignment="1">
      <alignment horizontal="center" wrapText="1"/>
    </xf>
    <xf numFmtId="0" fontId="12" fillId="0" borderId="0" xfId="0" applyNumberFormat="1" applyFont="1" applyAlignment="1">
      <alignment wrapText="1"/>
    </xf>
    <xf numFmtId="170" fontId="1" fillId="2" borderId="0" xfId="0" applyNumberFormat="1" applyFont="1" applyFill="1" applyBorder="1" applyAlignment="1">
      <alignment wrapText="1"/>
    </xf>
    <xf numFmtId="170" fontId="1" fillId="0" borderId="0" xfId="0" applyNumberFormat="1" applyFont="1" applyFill="1" applyAlignment="1">
      <alignment wrapText="1"/>
    </xf>
    <xf numFmtId="170" fontId="1" fillId="0" borderId="0" xfId="0" applyNumberFormat="1" applyFont="1" applyBorder="1" applyAlignment="1">
      <alignment wrapText="1"/>
    </xf>
    <xf numFmtId="170" fontId="1" fillId="0" borderId="0" xfId="0" applyNumberFormat="1" applyFont="1" applyAlignment="1">
      <alignment wrapText="1"/>
    </xf>
    <xf numFmtId="170" fontId="12" fillId="0" borderId="0" xfId="0" applyNumberFormat="1" applyFont="1" applyAlignment="1">
      <alignment wrapText="1"/>
    </xf>
    <xf numFmtId="0" fontId="1" fillId="0" borderId="0" xfId="0" applyFont="1" applyAlignment="1">
      <alignment horizontal="center" wrapText="1"/>
    </xf>
    <xf numFmtId="164" fontId="7" fillId="0" borderId="1" xfId="17" applyFont="1" applyFill="1" applyBorder="1" applyAlignment="1">
      <alignment vertical="center" wrapText="1"/>
    </xf>
    <xf numFmtId="170" fontId="1" fillId="0" borderId="40" xfId="0" applyNumberFormat="1" applyFont="1" applyBorder="1" applyAlignment="1">
      <alignment horizontal="center" vertical="center"/>
    </xf>
    <xf numFmtId="170" fontId="1" fillId="0" borderId="0" xfId="0" applyNumberFormat="1" applyFont="1" applyAlignment="1">
      <alignment horizontal="center" vertical="center"/>
    </xf>
    <xf numFmtId="170" fontId="1" fillId="0" borderId="0" xfId="0" applyNumberFormat="1" applyFont="1" applyFill="1" applyBorder="1" applyAlignment="1">
      <alignment horizontal="center" vertical="center"/>
    </xf>
    <xf numFmtId="0" fontId="1" fillId="0" borderId="39" xfId="0" applyFont="1" applyBorder="1" applyAlignment="1">
      <alignment horizontal="justify" vertical="center"/>
    </xf>
    <xf numFmtId="0" fontId="1" fillId="0" borderId="0" xfId="0" applyFont="1" applyAlignment="1">
      <alignment horizontal="justify" vertical="center"/>
    </xf>
    <xf numFmtId="164" fontId="12" fillId="0" borderId="1" xfId="17" applyFont="1" applyFill="1" applyBorder="1" applyAlignment="1">
      <alignment horizontal="justify" vertical="center"/>
    </xf>
    <xf numFmtId="164" fontId="3" fillId="3" borderId="1" xfId="17" applyFont="1" applyFill="1" applyBorder="1" applyAlignment="1">
      <alignment horizontal="center" vertical="center" wrapText="1"/>
    </xf>
    <xf numFmtId="164" fontId="13" fillId="3" borderId="1" xfId="17" applyFont="1" applyFill="1" applyBorder="1" applyAlignment="1">
      <alignment horizontal="center" vertical="center" wrapText="1"/>
    </xf>
    <xf numFmtId="164" fontId="3" fillId="3" borderId="10" xfId="17" applyFont="1" applyFill="1" applyBorder="1" applyAlignment="1">
      <alignment horizontal="center" vertical="center" wrapText="1"/>
    </xf>
    <xf numFmtId="164" fontId="13" fillId="3" borderId="10" xfId="17" applyFont="1" applyFill="1" applyBorder="1" applyAlignment="1">
      <alignment horizontal="center" vertical="center" wrapText="1"/>
    </xf>
    <xf numFmtId="164" fontId="13" fillId="6" borderId="11" xfId="17" applyFont="1" applyFill="1" applyBorder="1" applyAlignment="1">
      <alignment vertical="center"/>
    </xf>
    <xf numFmtId="164" fontId="13" fillId="11" borderId="11" xfId="17" applyFont="1" applyFill="1" applyBorder="1" applyAlignment="1">
      <alignment vertical="center"/>
    </xf>
    <xf numFmtId="164" fontId="13" fillId="8" borderId="11" xfId="17" applyFont="1" applyFill="1" applyBorder="1" applyAlignment="1">
      <alignment vertical="center"/>
    </xf>
    <xf numFmtId="164" fontId="3" fillId="8" borderId="11" xfId="17" applyFont="1" applyFill="1" applyBorder="1" applyAlignment="1">
      <alignment horizontal="left" vertical="center"/>
    </xf>
    <xf numFmtId="164" fontId="13" fillId="8" borderId="11" xfId="17" applyFont="1" applyFill="1" applyBorder="1" applyAlignment="1">
      <alignment horizontal="left" vertical="center"/>
    </xf>
    <xf numFmtId="164" fontId="3" fillId="11" borderId="0" xfId="17" applyFont="1" applyFill="1" applyBorder="1" applyAlignment="1">
      <alignment vertical="center"/>
    </xf>
    <xf numFmtId="164" fontId="13" fillId="11" borderId="0" xfId="17" applyFont="1" applyFill="1" applyBorder="1" applyAlignment="1">
      <alignment vertical="center"/>
    </xf>
    <xf numFmtId="164" fontId="3" fillId="8" borderId="0" xfId="17" applyFont="1" applyFill="1" applyBorder="1" applyAlignment="1">
      <alignment vertical="center"/>
    </xf>
    <xf numFmtId="164" fontId="13" fillId="8" borderId="0" xfId="17" applyFont="1" applyFill="1" applyBorder="1" applyAlignment="1">
      <alignment vertical="center"/>
    </xf>
    <xf numFmtId="164" fontId="3" fillId="11" borderId="11" xfId="17" applyFont="1" applyFill="1" applyBorder="1" applyAlignment="1">
      <alignment horizontal="left" vertical="center" wrapText="1"/>
    </xf>
    <xf numFmtId="164" fontId="13" fillId="11" borderId="11" xfId="17" applyFont="1" applyFill="1" applyBorder="1" applyAlignment="1">
      <alignment horizontal="left" vertical="center" wrapText="1"/>
    </xf>
    <xf numFmtId="164" fontId="3" fillId="8" borderId="11" xfId="17" applyFont="1" applyFill="1" applyBorder="1" applyAlignment="1">
      <alignment horizontal="left" vertical="center" wrapText="1"/>
    </xf>
    <xf numFmtId="164" fontId="13" fillId="8" borderId="11" xfId="17" applyFont="1" applyFill="1" applyBorder="1" applyAlignment="1">
      <alignment horizontal="left" vertical="center" wrapText="1"/>
    </xf>
    <xf numFmtId="164" fontId="3" fillId="11" borderId="12" xfId="17" applyFont="1" applyFill="1" applyBorder="1" applyAlignment="1">
      <alignment horizontal="left" vertical="center"/>
    </xf>
    <xf numFmtId="164" fontId="13" fillId="11" borderId="12" xfId="17" applyFont="1" applyFill="1" applyBorder="1" applyAlignment="1">
      <alignment horizontal="left" vertical="center"/>
    </xf>
    <xf numFmtId="164" fontId="3" fillId="8" borderId="2" xfId="17" applyFont="1" applyFill="1" applyBorder="1" applyAlignment="1">
      <alignment horizontal="left" vertical="center"/>
    </xf>
    <xf numFmtId="164" fontId="13" fillId="8" borderId="2" xfId="17" applyFont="1" applyFill="1" applyBorder="1" applyAlignment="1">
      <alignment horizontal="left" vertical="center"/>
    </xf>
    <xf numFmtId="164" fontId="42" fillId="0" borderId="1" xfId="17" applyFont="1" applyFill="1" applyBorder="1" applyAlignment="1">
      <alignment horizontal="right" vertical="center"/>
    </xf>
    <xf numFmtId="164" fontId="1" fillId="11" borderId="11" xfId="17" applyFont="1" applyFill="1" applyBorder="1" applyAlignment="1">
      <alignment vertical="center"/>
    </xf>
    <xf numFmtId="164" fontId="12" fillId="11" borderId="11" xfId="17" applyFont="1" applyFill="1" applyBorder="1" applyAlignment="1">
      <alignment vertical="center"/>
    </xf>
    <xf numFmtId="164" fontId="3" fillId="0" borderId="48" xfId="17" applyFont="1" applyBorder="1" applyAlignment="1">
      <alignment vertical="center"/>
    </xf>
    <xf numFmtId="164" fontId="13" fillId="0" borderId="48" xfId="17" applyFont="1" applyBorder="1" applyAlignment="1">
      <alignment vertical="center"/>
    </xf>
    <xf numFmtId="164" fontId="1" fillId="0" borderId="0" xfId="17" applyFont="1"/>
    <xf numFmtId="164" fontId="12" fillId="0" borderId="0" xfId="17" applyFont="1"/>
    <xf numFmtId="164" fontId="7" fillId="0" borderId="0" xfId="17" applyFont="1" applyFill="1" applyBorder="1" applyAlignment="1">
      <alignment horizontal="justify" vertical="center"/>
    </xf>
    <xf numFmtId="164" fontId="12" fillId="0" borderId="0" xfId="17" applyFont="1" applyFill="1" applyBorder="1" applyAlignment="1">
      <alignment horizontal="justify" vertical="center"/>
    </xf>
    <xf numFmtId="164" fontId="1" fillId="0" borderId="0" xfId="17" applyFont="1" applyFill="1" applyBorder="1"/>
    <xf numFmtId="164" fontId="12" fillId="0" borderId="0" xfId="17" applyFont="1" applyFill="1" applyBorder="1"/>
    <xf numFmtId="196" fontId="0" fillId="0" borderId="1" xfId="0" applyNumberFormat="1" applyBorder="1" applyAlignment="1">
      <alignment horizontal="center" vertical="center" wrapText="1"/>
    </xf>
    <xf numFmtId="196" fontId="2" fillId="0" borderId="1" xfId="21" applyNumberFormat="1" applyFont="1" applyFill="1" applyBorder="1" applyAlignment="1" applyProtection="1">
      <alignment horizontal="center" vertical="center"/>
    </xf>
    <xf numFmtId="0" fontId="20" fillId="2" borderId="6" xfId="0" applyFont="1" applyFill="1" applyBorder="1" applyAlignment="1">
      <alignment vertical="center" wrapText="1"/>
    </xf>
    <xf numFmtId="0" fontId="1" fillId="0" borderId="0" xfId="0" applyFont="1" applyAlignment="1">
      <alignment horizontal="center"/>
    </xf>
    <xf numFmtId="0" fontId="20" fillId="0" borderId="1" xfId="0" applyFont="1" applyFill="1" applyBorder="1" applyAlignment="1">
      <alignment horizontal="justify" vertical="center" wrapText="1"/>
    </xf>
    <xf numFmtId="167" fontId="8" fillId="0" borderId="1" xfId="18" applyFont="1" applyFill="1" applyBorder="1" applyAlignment="1">
      <alignment horizontal="justify" vertical="center" wrapText="1"/>
    </xf>
    <xf numFmtId="170" fontId="1" fillId="0" borderId="1" xfId="18" applyNumberFormat="1" applyFont="1" applyFill="1" applyBorder="1" applyAlignment="1">
      <alignment vertical="center"/>
    </xf>
    <xf numFmtId="167" fontId="8" fillId="0" borderId="6" xfId="18" applyFont="1" applyFill="1" applyBorder="1" applyAlignment="1">
      <alignment horizontal="justify" vertical="center" wrapText="1"/>
    </xf>
    <xf numFmtId="170" fontId="1" fillId="0" borderId="6" xfId="18" applyNumberFormat="1" applyFont="1" applyFill="1" applyBorder="1" applyAlignment="1">
      <alignment vertical="center"/>
    </xf>
    <xf numFmtId="0" fontId="12" fillId="2" borderId="13" xfId="0" applyFont="1" applyFill="1" applyBorder="1" applyAlignment="1"/>
    <xf numFmtId="0" fontId="1" fillId="0" borderId="1" xfId="0" applyNumberFormat="1" applyFont="1" applyFill="1" applyBorder="1" applyAlignment="1">
      <alignment vertical="center" wrapText="1"/>
    </xf>
    <xf numFmtId="0" fontId="1" fillId="0" borderId="6" xfId="0" applyNumberFormat="1" applyFont="1" applyFill="1" applyBorder="1" applyAlignment="1">
      <alignment vertical="center" wrapText="1"/>
    </xf>
    <xf numFmtId="0" fontId="1" fillId="2" borderId="1" xfId="0" applyFont="1" applyFill="1" applyBorder="1" applyAlignment="1">
      <alignment vertical="center"/>
    </xf>
    <xf numFmtId="0" fontId="12" fillId="2" borderId="1" xfId="0" applyFont="1" applyFill="1" applyBorder="1" applyAlignment="1">
      <alignment vertical="center"/>
    </xf>
    <xf numFmtId="170" fontId="7" fillId="0" borderId="6" xfId="10" applyNumberFormat="1" applyFont="1" applyFill="1" applyBorder="1" applyAlignment="1">
      <alignment horizontal="center" vertical="center" wrapText="1"/>
    </xf>
    <xf numFmtId="195" fontId="20" fillId="0" borderId="6" xfId="0" applyNumberFormat="1" applyFont="1" applyFill="1" applyBorder="1" applyAlignment="1">
      <alignment horizontal="center" vertical="center" wrapText="1"/>
    </xf>
    <xf numFmtId="170" fontId="7" fillId="11" borderId="0" xfId="0" applyNumberFormat="1" applyFont="1" applyFill="1" applyBorder="1" applyAlignment="1">
      <alignment vertical="center"/>
    </xf>
    <xf numFmtId="0" fontId="7" fillId="11" borderId="0" xfId="0" applyFont="1" applyFill="1" applyBorder="1" applyAlignment="1">
      <alignment vertical="center"/>
    </xf>
    <xf numFmtId="49" fontId="1" fillId="2" borderId="1" xfId="0" applyNumberFormat="1" applyFont="1" applyFill="1" applyBorder="1" applyAlignment="1">
      <alignment vertical="center" wrapText="1"/>
    </xf>
    <xf numFmtId="183" fontId="35" fillId="0" borderId="1" xfId="0" applyNumberFormat="1" applyFont="1" applyFill="1" applyBorder="1" applyAlignment="1">
      <alignment horizontal="center" vertical="center"/>
    </xf>
    <xf numFmtId="170" fontId="7" fillId="0" borderId="10" xfId="10" applyNumberFormat="1" applyFont="1" applyFill="1" applyBorder="1" applyAlignment="1">
      <alignment horizontal="center" vertical="center" wrapText="1"/>
    </xf>
    <xf numFmtId="14" fontId="1" fillId="2" borderId="6" xfId="0" applyNumberFormat="1" applyFont="1" applyFill="1" applyBorder="1" applyAlignment="1">
      <alignment vertical="center"/>
    </xf>
    <xf numFmtId="14" fontId="12" fillId="2" borderId="6" xfId="0" applyNumberFormat="1" applyFont="1" applyFill="1" applyBorder="1" applyAlignment="1">
      <alignment vertical="center"/>
    </xf>
    <xf numFmtId="170" fontId="7" fillId="0" borderId="1" xfId="10" applyNumberFormat="1" applyFont="1" applyFill="1" applyBorder="1" applyAlignment="1">
      <alignment horizontal="center" vertical="center" wrapText="1" readingOrder="1"/>
    </xf>
    <xf numFmtId="0" fontId="7" fillId="11" borderId="11" xfId="0" applyFont="1" applyFill="1" applyBorder="1" applyAlignment="1">
      <alignment vertical="center"/>
    </xf>
    <xf numFmtId="170" fontId="7" fillId="0" borderId="17" xfId="10" applyNumberFormat="1"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168" fontId="0" fillId="0" borderId="0" xfId="13" applyNumberFormat="1" applyFont="1" applyFill="1" applyBorder="1" applyAlignment="1">
      <alignment vertical="center"/>
    </xf>
    <xf numFmtId="43" fontId="14" fillId="0" borderId="0" xfId="13" applyFont="1" applyFill="1" applyBorder="1" applyAlignment="1">
      <alignment vertical="center"/>
    </xf>
    <xf numFmtId="164" fontId="14" fillId="0" borderId="1" xfId="17" applyFont="1" applyFill="1" applyBorder="1" applyAlignment="1">
      <alignment horizontal="center" vertical="center"/>
    </xf>
    <xf numFmtId="164" fontId="12" fillId="2" borderId="6" xfId="17" applyFont="1" applyFill="1" applyBorder="1" applyAlignment="1">
      <alignment horizontal="center" vertical="center"/>
    </xf>
    <xf numFmtId="164" fontId="14" fillId="0" borderId="1" xfId="17" applyFont="1" applyFill="1" applyBorder="1" applyAlignment="1">
      <alignment vertical="center"/>
    </xf>
    <xf numFmtId="164" fontId="14" fillId="0" borderId="10" xfId="17" applyFont="1" applyFill="1" applyBorder="1" applyAlignment="1">
      <alignment vertical="center"/>
    </xf>
    <xf numFmtId="164" fontId="14" fillId="2" borderId="1" xfId="17" applyFont="1" applyFill="1" applyBorder="1" applyAlignment="1">
      <alignment horizontal="center" vertical="center"/>
    </xf>
    <xf numFmtId="164" fontId="14" fillId="2" borderId="6" xfId="17" applyFont="1" applyFill="1" applyBorder="1" applyAlignment="1">
      <alignment horizontal="center" vertical="center"/>
    </xf>
    <xf numFmtId="164" fontId="14" fillId="0" borderId="6" xfId="17" applyFont="1" applyFill="1" applyBorder="1" applyAlignment="1">
      <alignment horizontal="center" vertical="center"/>
    </xf>
    <xf numFmtId="0" fontId="1" fillId="0" borderId="11" xfId="0" applyFont="1" applyFill="1" applyBorder="1" applyAlignment="1">
      <alignment horizontal="center" vertical="center" wrapText="1"/>
    </xf>
    <xf numFmtId="164" fontId="1" fillId="0" borderId="1" xfId="17" applyFont="1" applyFill="1" applyBorder="1" applyAlignment="1">
      <alignment vertical="center" wrapText="1"/>
    </xf>
    <xf numFmtId="164" fontId="1" fillId="0" borderId="10" xfId="17" applyFont="1" applyFill="1" applyBorder="1" applyAlignment="1">
      <alignment vertical="center" wrapText="1"/>
    </xf>
    <xf numFmtId="164" fontId="3" fillId="11" borderId="11" xfId="17" applyFont="1" applyFill="1" applyBorder="1" applyAlignment="1">
      <alignment vertical="center" wrapText="1"/>
    </xf>
    <xf numFmtId="164" fontId="12" fillId="0" borderId="1" xfId="17" applyFont="1" applyFill="1" applyBorder="1" applyAlignment="1">
      <alignment horizontal="right" vertical="center" wrapText="1"/>
    </xf>
    <xf numFmtId="164" fontId="7" fillId="0" borderId="1" xfId="17" applyFont="1" applyFill="1" applyBorder="1" applyAlignment="1">
      <alignment vertical="center"/>
    </xf>
    <xf numFmtId="164" fontId="12" fillId="0" borderId="1" xfId="17" applyFont="1" applyFill="1" applyBorder="1" applyAlignment="1">
      <alignment vertical="center"/>
    </xf>
    <xf numFmtId="164" fontId="6" fillId="0" borderId="1" xfId="17" applyFont="1" applyFill="1" applyBorder="1" applyAlignment="1">
      <alignment horizontal="center" vertical="center"/>
    </xf>
    <xf numFmtId="164" fontId="39" fillId="0" borderId="1" xfId="17" applyFont="1" applyFill="1" applyBorder="1" applyAlignment="1">
      <alignment horizontal="center" vertical="center"/>
    </xf>
    <xf numFmtId="164" fontId="4" fillId="0" borderId="1" xfId="17" applyFont="1" applyFill="1" applyBorder="1" applyAlignment="1">
      <alignment horizontal="justify" vertical="center"/>
    </xf>
    <xf numFmtId="164" fontId="14" fillId="0" borderId="1" xfId="17" applyFont="1" applyFill="1" applyBorder="1" applyAlignment="1">
      <alignment horizontal="justify" vertical="center"/>
    </xf>
    <xf numFmtId="164" fontId="12" fillId="0" borderId="1" xfId="17" applyFont="1" applyFill="1" applyBorder="1" applyAlignment="1">
      <alignment vertical="center" wrapText="1"/>
    </xf>
    <xf numFmtId="164" fontId="3" fillId="11" borderId="11" xfId="17" applyFont="1" applyFill="1" applyBorder="1" applyAlignment="1">
      <alignment horizontal="center" vertical="center" wrapText="1"/>
    </xf>
    <xf numFmtId="164" fontId="3" fillId="0" borderId="48" xfId="17" applyFont="1" applyFill="1" applyBorder="1"/>
    <xf numFmtId="164" fontId="13" fillId="0" borderId="48" xfId="17" applyFont="1" applyFill="1" applyBorder="1"/>
    <xf numFmtId="164" fontId="3" fillId="0" borderId="48" xfId="17" applyFont="1" applyFill="1" applyBorder="1" applyAlignment="1">
      <alignment horizontal="right" vertical="center"/>
    </xf>
    <xf numFmtId="164" fontId="3" fillId="0" borderId="41" xfId="17" applyFont="1" applyFill="1" applyBorder="1" applyAlignment="1">
      <alignment horizontal="right" vertical="center"/>
    </xf>
    <xf numFmtId="165" fontId="1" fillId="0" borderId="0" xfId="15" applyNumberFormat="1" applyFont="1" applyFill="1"/>
    <xf numFmtId="0" fontId="1" fillId="0" borderId="13" xfId="0" applyFont="1" applyFill="1" applyBorder="1" applyAlignment="1">
      <alignment vertical="center" wrapText="1"/>
    </xf>
    <xf numFmtId="0" fontId="3" fillId="7" borderId="11" xfId="0" applyFont="1" applyFill="1" applyBorder="1" applyAlignment="1">
      <alignment vertical="center" wrapText="1"/>
    </xf>
    <xf numFmtId="0" fontId="3" fillId="7" borderId="3" xfId="0" applyFont="1" applyFill="1" applyBorder="1" applyAlignment="1">
      <alignment vertical="center" wrapText="1"/>
    </xf>
    <xf numFmtId="192" fontId="1" fillId="0" borderId="6" xfId="0" applyNumberFormat="1" applyFont="1" applyFill="1" applyBorder="1" applyAlignment="1">
      <alignment horizontal="center" vertical="center" wrapText="1"/>
    </xf>
    <xf numFmtId="192" fontId="1" fillId="0" borderId="6" xfId="0" applyNumberFormat="1" applyFont="1" applyFill="1" applyBorder="1" applyAlignment="1">
      <alignment vertical="center" wrapText="1"/>
    </xf>
    <xf numFmtId="192" fontId="1" fillId="0" borderId="10" xfId="0" applyNumberFormat="1" applyFont="1" applyFill="1" applyBorder="1" applyAlignment="1">
      <alignment horizontal="center" vertical="center" wrapText="1"/>
    </xf>
    <xf numFmtId="192" fontId="1" fillId="0" borderId="10" xfId="0" applyNumberFormat="1" applyFont="1" applyFill="1" applyBorder="1" applyAlignment="1">
      <alignment vertical="center" wrapText="1"/>
    </xf>
    <xf numFmtId="191" fontId="1" fillId="0" borderId="10" xfId="0" applyNumberFormat="1" applyFont="1" applyFill="1" applyBorder="1" applyAlignment="1">
      <alignment horizontal="justify" vertical="center" wrapText="1"/>
    </xf>
    <xf numFmtId="0" fontId="13" fillId="7" borderId="11" xfId="0" applyFont="1" applyFill="1" applyBorder="1" applyAlignment="1">
      <alignment vertical="center" wrapText="1"/>
    </xf>
    <xf numFmtId="192" fontId="12" fillId="0" borderId="1" xfId="0" applyNumberFormat="1" applyFont="1" applyFill="1" applyBorder="1" applyAlignment="1">
      <alignment vertical="center" wrapText="1"/>
    </xf>
    <xf numFmtId="192" fontId="12" fillId="0" borderId="1" xfId="0" applyNumberFormat="1" applyFont="1" applyFill="1" applyBorder="1" applyAlignment="1">
      <alignment horizontal="center" vertical="center" wrapText="1"/>
    </xf>
    <xf numFmtId="192" fontId="12" fillId="0" borderId="6" xfId="0" applyNumberFormat="1" applyFont="1" applyFill="1" applyBorder="1" applyAlignment="1">
      <alignment horizontal="center" vertical="center" wrapText="1"/>
    </xf>
    <xf numFmtId="192" fontId="12" fillId="0" borderId="10" xfId="0" applyNumberFormat="1" applyFont="1" applyFill="1" applyBorder="1" applyAlignment="1">
      <alignment horizontal="center" vertical="center" wrapText="1"/>
    </xf>
    <xf numFmtId="0" fontId="12" fillId="0" borderId="0" xfId="0" applyFont="1" applyFill="1" applyAlignment="1">
      <alignment horizontal="justify" vertical="center"/>
    </xf>
    <xf numFmtId="0" fontId="3" fillId="2" borderId="6" xfId="0" applyFont="1" applyFill="1" applyBorder="1" applyAlignment="1">
      <alignment horizontal="center" vertical="center" wrapText="1"/>
    </xf>
    <xf numFmtId="49" fontId="1" fillId="0" borderId="3" xfId="0" applyNumberFormat="1" applyFont="1" applyFill="1" applyBorder="1" applyAlignment="1">
      <alignment vertical="center" wrapText="1"/>
    </xf>
    <xf numFmtId="0" fontId="3" fillId="7" borderId="5"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49" fontId="1" fillId="2" borderId="13" xfId="0" applyNumberFormat="1" applyFont="1" applyFill="1" applyBorder="1" applyAlignment="1">
      <alignment vertical="center" wrapText="1"/>
    </xf>
    <xf numFmtId="49" fontId="1" fillId="2" borderId="6" xfId="0" applyNumberFormat="1" applyFont="1" applyFill="1" applyBorder="1" applyAlignment="1">
      <alignment vertical="center" wrapText="1"/>
    </xf>
    <xf numFmtId="170" fontId="1" fillId="0" borderId="67" xfId="0" applyNumberFormat="1" applyFont="1" applyFill="1" applyBorder="1"/>
    <xf numFmtId="0" fontId="1" fillId="0" borderId="57" xfId="0" applyFont="1" applyFill="1" applyBorder="1" applyAlignment="1">
      <alignment horizontal="justify"/>
    </xf>
    <xf numFmtId="0" fontId="1" fillId="0" borderId="37" xfId="0" applyFont="1" applyFill="1" applyBorder="1" applyAlignment="1">
      <alignment horizontal="justify"/>
    </xf>
    <xf numFmtId="0" fontId="1" fillId="0" borderId="63" xfId="0" applyFont="1" applyFill="1" applyBorder="1" applyAlignment="1">
      <alignment horizontal="justify" vertical="center"/>
    </xf>
    <xf numFmtId="192" fontId="1" fillId="0" borderId="67" xfId="0" applyNumberFormat="1" applyFont="1" applyFill="1" applyBorder="1" applyAlignment="1">
      <alignment horizontal="justify" vertical="center"/>
    </xf>
    <xf numFmtId="192" fontId="12" fillId="0" borderId="67" xfId="0" applyNumberFormat="1" applyFont="1" applyFill="1" applyBorder="1" applyAlignment="1">
      <alignment horizontal="justify" vertical="center"/>
    </xf>
    <xf numFmtId="0" fontId="1" fillId="0" borderId="57" xfId="0" applyFont="1" applyFill="1" applyBorder="1" applyAlignment="1">
      <alignment horizontal="justify" vertical="center"/>
    </xf>
    <xf numFmtId="0" fontId="1" fillId="0" borderId="37" xfId="0" applyFont="1" applyFill="1" applyBorder="1" applyAlignment="1">
      <alignment horizontal="justify" vertical="center"/>
    </xf>
    <xf numFmtId="0" fontId="1" fillId="0" borderId="37" xfId="0" applyFont="1" applyFill="1" applyBorder="1"/>
    <xf numFmtId="169" fontId="1" fillId="0" borderId="37" xfId="0" applyNumberFormat="1" applyFont="1" applyFill="1" applyBorder="1" applyAlignment="1">
      <alignment horizontal="center"/>
    </xf>
    <xf numFmtId="0" fontId="1" fillId="0" borderId="63" xfId="0" applyFont="1" applyFill="1" applyBorder="1" applyAlignment="1">
      <alignment horizontal="left"/>
    </xf>
    <xf numFmtId="0" fontId="1" fillId="0" borderId="11" xfId="0" applyFont="1" applyFill="1" applyBorder="1"/>
    <xf numFmtId="0" fontId="1" fillId="0" borderId="11" xfId="0" applyFont="1" applyFill="1" applyBorder="1" applyAlignment="1">
      <alignment horizontal="justify"/>
    </xf>
    <xf numFmtId="0" fontId="1" fillId="0" borderId="11" xfId="0" applyFont="1" applyFill="1" applyBorder="1" applyAlignment="1">
      <alignment horizontal="justify" vertical="center"/>
    </xf>
    <xf numFmtId="0" fontId="12" fillId="0" borderId="11" xfId="0" applyFont="1" applyFill="1" applyBorder="1" applyAlignment="1">
      <alignment horizontal="justify" vertical="center"/>
    </xf>
    <xf numFmtId="192" fontId="1" fillId="0" borderId="11" xfId="0" applyNumberFormat="1" applyFont="1" applyFill="1" applyBorder="1" applyAlignment="1">
      <alignment vertical="center" wrapText="1"/>
    </xf>
    <xf numFmtId="0" fontId="1" fillId="0" borderId="11" xfId="0" applyFont="1" applyFill="1" applyBorder="1" applyAlignment="1">
      <alignment horizontal="right" vertical="center"/>
    </xf>
    <xf numFmtId="169" fontId="1" fillId="0" borderId="11" xfId="0" applyNumberFormat="1" applyFont="1" applyFill="1" applyBorder="1" applyAlignment="1">
      <alignment horizontal="center"/>
    </xf>
    <xf numFmtId="0" fontId="1" fillId="0" borderId="6" xfId="0" applyNumberFormat="1" applyFont="1" applyFill="1" applyBorder="1" applyAlignment="1">
      <alignment vertical="center"/>
    </xf>
    <xf numFmtId="169" fontId="1" fillId="0" borderId="6" xfId="0" applyNumberFormat="1" applyFont="1" applyFill="1" applyBorder="1" applyAlignment="1">
      <alignment vertical="center" wrapText="1"/>
    </xf>
    <xf numFmtId="3" fontId="1" fillId="7" borderId="11" xfId="0" applyNumberFormat="1" applyFont="1" applyFill="1" applyBorder="1" applyAlignment="1">
      <alignment vertical="center"/>
    </xf>
    <xf numFmtId="9" fontId="1" fillId="7" borderId="11" xfId="5" applyFont="1" applyFill="1" applyBorder="1" applyAlignment="1">
      <alignment vertical="center"/>
    </xf>
    <xf numFmtId="0" fontId="1" fillId="7" borderId="11" xfId="0" applyNumberFormat="1" applyFont="1" applyFill="1" applyBorder="1" applyAlignment="1">
      <alignment vertical="center" wrapText="1"/>
    </xf>
    <xf numFmtId="169" fontId="1" fillId="7" borderId="11" xfId="0" applyNumberFormat="1" applyFont="1" applyFill="1" applyBorder="1" applyAlignment="1">
      <alignment vertical="center" wrapText="1"/>
    </xf>
    <xf numFmtId="169" fontId="1" fillId="7" borderId="3" xfId="0" applyNumberFormat="1" applyFont="1" applyFill="1" applyBorder="1" applyAlignment="1">
      <alignment vertical="center" wrapText="1"/>
    </xf>
    <xf numFmtId="0" fontId="3" fillId="7" borderId="7" xfId="0" applyFont="1" applyFill="1" applyBorder="1" applyAlignment="1">
      <alignment vertical="center" wrapText="1"/>
    </xf>
    <xf numFmtId="0" fontId="1" fillId="7" borderId="11" xfId="0" applyNumberFormat="1" applyFont="1" applyFill="1" applyBorder="1" applyAlignment="1">
      <alignment vertical="center"/>
    </xf>
    <xf numFmtId="0" fontId="1" fillId="0" borderId="1" xfId="0" applyNumberFormat="1" applyFont="1" applyFill="1" applyBorder="1" applyAlignment="1">
      <alignment vertical="center"/>
    </xf>
    <xf numFmtId="192" fontId="1" fillId="0" borderId="1" xfId="0" applyNumberFormat="1" applyFont="1" applyFill="1" applyBorder="1" applyAlignment="1">
      <alignment vertical="center"/>
    </xf>
    <xf numFmtId="192" fontId="7" fillId="0" borderId="10" xfId="0" applyNumberFormat="1" applyFont="1" applyFill="1" applyBorder="1" applyAlignment="1">
      <alignment horizontal="center" vertical="center" wrapText="1"/>
    </xf>
    <xf numFmtId="0" fontId="1" fillId="0" borderId="0" xfId="0" applyFont="1" applyAlignment="1">
      <alignment horizontal="center"/>
    </xf>
    <xf numFmtId="0" fontId="1" fillId="7" borderId="3" xfId="0" applyNumberFormat="1" applyFont="1" applyFill="1" applyBorder="1" applyAlignment="1">
      <alignment horizontal="center" vertical="center"/>
    </xf>
    <xf numFmtId="0" fontId="1" fillId="0" borderId="11" xfId="0" applyFont="1" applyFill="1" applyBorder="1" applyAlignment="1">
      <alignment horizontal="center"/>
    </xf>
    <xf numFmtId="0" fontId="1" fillId="0" borderId="37" xfId="0" applyFont="1" applyFill="1" applyBorder="1" applyAlignment="1">
      <alignment horizontal="center"/>
    </xf>
    <xf numFmtId="170" fontId="1" fillId="0" borderId="0" xfId="0" applyNumberFormat="1" applyFont="1" applyFill="1" applyAlignment="1">
      <alignment horizontal="justify" vertical="center"/>
    </xf>
    <xf numFmtId="189" fontId="13" fillId="3" borderId="1" xfId="15" applyNumberFormat="1" applyFont="1" applyFill="1" applyBorder="1" applyAlignment="1">
      <alignment horizontal="center" vertical="center" wrapText="1"/>
    </xf>
    <xf numFmtId="189" fontId="13" fillId="6" borderId="12" xfId="15" applyNumberFormat="1" applyFont="1" applyFill="1" applyBorder="1" applyAlignment="1">
      <alignment vertical="center"/>
    </xf>
    <xf numFmtId="189" fontId="13" fillId="11" borderId="0" xfId="15" applyNumberFormat="1" applyFont="1" applyFill="1" applyBorder="1" applyAlignment="1">
      <alignment vertical="center"/>
    </xf>
    <xf numFmtId="189" fontId="13" fillId="7" borderId="2" xfId="15" applyNumberFormat="1" applyFont="1" applyFill="1" applyBorder="1" applyAlignment="1">
      <alignment vertical="center"/>
    </xf>
    <xf numFmtId="189" fontId="3" fillId="7" borderId="11" xfId="15" applyNumberFormat="1" applyFont="1" applyFill="1" applyBorder="1" applyAlignment="1">
      <alignment vertical="center"/>
    </xf>
    <xf numFmtId="189" fontId="3" fillId="11" borderId="1" xfId="15" applyNumberFormat="1" applyFont="1" applyFill="1" applyBorder="1" applyAlignment="1">
      <alignment vertical="center"/>
    </xf>
    <xf numFmtId="189" fontId="3" fillId="7" borderId="2" xfId="15" applyNumberFormat="1" applyFont="1" applyFill="1" applyBorder="1" applyAlignment="1">
      <alignment vertical="center"/>
    </xf>
    <xf numFmtId="189" fontId="3" fillId="11" borderId="11" xfId="15" applyNumberFormat="1" applyFont="1" applyFill="1" applyBorder="1" applyAlignment="1">
      <alignment vertical="center"/>
    </xf>
    <xf numFmtId="189" fontId="3" fillId="7" borderId="11" xfId="15" applyNumberFormat="1" applyFont="1" applyFill="1" applyBorder="1" applyAlignment="1">
      <alignment vertical="center" wrapText="1"/>
    </xf>
    <xf numFmtId="189" fontId="3" fillId="6" borderId="11" xfId="15" applyNumberFormat="1" applyFont="1" applyFill="1" applyBorder="1" applyAlignment="1">
      <alignment vertical="center"/>
    </xf>
    <xf numFmtId="189" fontId="3" fillId="11" borderId="2" xfId="15" applyNumberFormat="1" applyFont="1" applyFill="1" applyBorder="1" applyAlignment="1">
      <alignment vertical="center"/>
    </xf>
    <xf numFmtId="189" fontId="12" fillId="2" borderId="0" xfId="15" applyNumberFormat="1" applyFont="1" applyFill="1" applyBorder="1"/>
    <xf numFmtId="189" fontId="12" fillId="2" borderId="0" xfId="15" applyNumberFormat="1" applyFont="1" applyFill="1"/>
    <xf numFmtId="2" fontId="12" fillId="2" borderId="1"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1" fillId="0" borderId="0" xfId="0" applyFont="1" applyFill="1" applyAlignment="1">
      <alignment horizontal="center"/>
    </xf>
    <xf numFmtId="43" fontId="24" fillId="0" borderId="0" xfId="0" applyNumberFormat="1" applyFont="1" applyFill="1" applyBorder="1" applyAlignment="1">
      <alignment horizontal="left" vertical="center"/>
    </xf>
    <xf numFmtId="0" fontId="3" fillId="0" borderId="1" xfId="0" applyFont="1" applyBorder="1"/>
    <xf numFmtId="0" fontId="3" fillId="0" borderId="1" xfId="0" applyFont="1" applyBorder="1" applyAlignment="1">
      <alignment horizontal="left"/>
    </xf>
    <xf numFmtId="174" fontId="3" fillId="0" borderId="1" xfId="0" applyNumberFormat="1" applyFont="1" applyBorder="1" applyAlignment="1">
      <alignment horizontal="left"/>
    </xf>
    <xf numFmtId="17" fontId="3" fillId="0" borderId="1" xfId="0" applyNumberFormat="1" applyFont="1" applyBorder="1" applyAlignment="1">
      <alignment horizontal="left"/>
    </xf>
    <xf numFmtId="3" fontId="9" fillId="4" borderId="1" xfId="0" applyNumberFormat="1" applyFont="1" applyFill="1" applyBorder="1" applyAlignment="1">
      <alignment horizontal="left" vertical="center" wrapText="1"/>
    </xf>
    <xf numFmtId="0" fontId="36" fillId="0" borderId="0" xfId="0" applyFont="1" applyFill="1" applyAlignment="1">
      <alignment horizontal="center"/>
    </xf>
    <xf numFmtId="0" fontId="36" fillId="0" borderId="0" xfId="0" applyFont="1" applyFill="1" applyAlignment="1"/>
    <xf numFmtId="165" fontId="0" fillId="0" borderId="0" xfId="15" applyFont="1" applyFill="1"/>
    <xf numFmtId="0" fontId="7" fillId="0" borderId="0" xfId="0" applyFont="1" applyFill="1" applyAlignment="1">
      <alignment horizontal="justify" vertical="center"/>
    </xf>
    <xf numFmtId="166" fontId="0" fillId="0" borderId="0" xfId="8" applyFont="1" applyFill="1"/>
    <xf numFmtId="170" fontId="7" fillId="0" borderId="0" xfId="0" applyNumberFormat="1" applyFont="1" applyFill="1" applyAlignment="1">
      <alignment horizontal="center" vertical="center"/>
    </xf>
    <xf numFmtId="170" fontId="12" fillId="0" borderId="0" xfId="0" applyNumberFormat="1" applyFont="1" applyFill="1" applyAlignment="1">
      <alignment horizontal="center" vertical="center"/>
    </xf>
    <xf numFmtId="182" fontId="22" fillId="0" borderId="0" xfId="0" applyNumberFormat="1" applyFont="1" applyFill="1" applyAlignment="1">
      <alignment horizontal="right" vertical="center"/>
    </xf>
    <xf numFmtId="182" fontId="19" fillId="0" borderId="0" xfId="19" applyNumberFormat="1" applyFont="1" applyFill="1" applyAlignment="1">
      <alignment horizontal="right" vertical="center"/>
    </xf>
    <xf numFmtId="170" fontId="12" fillId="0" borderId="0" xfId="0" applyNumberFormat="1" applyFont="1" applyFill="1" applyAlignment="1">
      <alignment horizontal="justify" vertical="center"/>
    </xf>
    <xf numFmtId="0" fontId="1" fillId="0" borderId="0" xfId="18" applyNumberFormat="1" applyFont="1" applyFill="1" applyBorder="1"/>
    <xf numFmtId="167" fontId="1" fillId="0" borderId="0" xfId="18" applyFont="1" applyFill="1" applyBorder="1" applyAlignment="1"/>
    <xf numFmtId="167" fontId="1" fillId="0" borderId="0" xfId="18" applyFont="1" applyFill="1" applyBorder="1" applyAlignment="1">
      <alignment horizontal="center" vertical="center"/>
    </xf>
    <xf numFmtId="170" fontId="1" fillId="0" borderId="0" xfId="18" applyNumberFormat="1" applyFont="1" applyFill="1" applyBorder="1" applyAlignment="1">
      <alignment horizontal="center"/>
    </xf>
    <xf numFmtId="167" fontId="1" fillId="0" borderId="0" xfId="18" applyFont="1" applyFill="1" applyBorder="1"/>
    <xf numFmtId="167" fontId="1" fillId="0" borderId="0" xfId="18" applyFont="1" applyFill="1" applyBorder="1" applyAlignment="1">
      <alignment horizontal="justify" vertical="center"/>
    </xf>
    <xf numFmtId="170" fontId="1" fillId="0" borderId="0" xfId="18" applyNumberFormat="1" applyFont="1" applyFill="1" applyBorder="1" applyAlignment="1">
      <alignment vertical="center"/>
    </xf>
    <xf numFmtId="170" fontId="12" fillId="0" borderId="0" xfId="18" applyNumberFormat="1" applyFont="1" applyFill="1" applyBorder="1" applyAlignment="1">
      <alignment vertical="center"/>
    </xf>
    <xf numFmtId="170" fontId="1" fillId="0" borderId="0" xfId="18" applyNumberFormat="1" applyFont="1" applyFill="1" applyBorder="1" applyAlignment="1">
      <alignment horizontal="justify" vertical="center"/>
    </xf>
    <xf numFmtId="167" fontId="12" fillId="0" borderId="0" xfId="18" applyFont="1" applyFill="1" applyBorder="1"/>
    <xf numFmtId="170" fontId="1" fillId="0" borderId="0" xfId="18" applyNumberFormat="1" applyFont="1" applyFill="1" applyAlignment="1">
      <alignment horizontal="center"/>
    </xf>
    <xf numFmtId="167" fontId="1" fillId="0" borderId="0" xfId="18" applyFont="1" applyFill="1" applyAlignment="1">
      <alignment horizontal="justify" vertical="center"/>
    </xf>
    <xf numFmtId="182" fontId="33" fillId="0" borderId="0" xfId="0" applyNumberFormat="1" applyFont="1" applyFill="1" applyAlignment="1">
      <alignment vertical="center"/>
    </xf>
    <xf numFmtId="182" fontId="34" fillId="0" borderId="0" xfId="0" applyNumberFormat="1" applyFont="1" applyFill="1" applyAlignment="1">
      <alignment vertical="center"/>
    </xf>
    <xf numFmtId="170" fontId="1" fillId="0" borderId="0" xfId="18" applyNumberFormat="1" applyFont="1" applyFill="1" applyAlignment="1">
      <alignment horizontal="justify" vertical="center"/>
    </xf>
    <xf numFmtId="167" fontId="12" fillId="0" borderId="0" xfId="18" applyFont="1" applyFill="1"/>
    <xf numFmtId="170" fontId="1" fillId="0" borderId="0" xfId="18" applyNumberFormat="1" applyFont="1" applyFill="1" applyAlignment="1">
      <alignment vertical="center"/>
    </xf>
    <xf numFmtId="170" fontId="12" fillId="0" borderId="0" xfId="18" applyNumberFormat="1" applyFont="1" applyFill="1" applyAlignment="1">
      <alignment vertical="center"/>
    </xf>
    <xf numFmtId="184" fontId="1" fillId="0" borderId="6" xfId="0" applyNumberFormat="1" applyFont="1" applyFill="1" applyBorder="1" applyAlignment="1">
      <alignment horizontal="center" vertical="center" wrapText="1"/>
    </xf>
    <xf numFmtId="170" fontId="3" fillId="2" borderId="64" xfId="0" applyNumberFormat="1" applyFont="1" applyFill="1" applyBorder="1" applyAlignment="1">
      <alignment vertical="center"/>
    </xf>
    <xf numFmtId="0" fontId="3" fillId="2" borderId="64" xfId="0" applyFont="1" applyFill="1" applyBorder="1" applyAlignment="1">
      <alignment vertical="center"/>
    </xf>
    <xf numFmtId="0" fontId="3" fillId="2" borderId="64" xfId="0" applyFont="1" applyFill="1" applyBorder="1" applyAlignment="1">
      <alignment horizontal="justify" vertical="center"/>
    </xf>
    <xf numFmtId="170" fontId="3" fillId="2" borderId="64" xfId="0" applyNumberFormat="1" applyFont="1" applyFill="1" applyBorder="1" applyAlignment="1">
      <alignment horizontal="center" vertical="center"/>
    </xf>
    <xf numFmtId="170" fontId="13" fillId="2" borderId="64" xfId="0" applyNumberFormat="1" applyFont="1" applyFill="1" applyBorder="1" applyAlignment="1">
      <alignment horizontal="center" vertical="center"/>
    </xf>
    <xf numFmtId="3" fontId="3" fillId="2" borderId="64" xfId="0" applyNumberFormat="1" applyFont="1" applyFill="1" applyBorder="1" applyAlignment="1">
      <alignment horizontal="center" vertical="center"/>
    </xf>
    <xf numFmtId="0" fontId="3" fillId="0" borderId="64" xfId="0" applyFont="1" applyBorder="1" applyAlignment="1">
      <alignment vertical="center"/>
    </xf>
    <xf numFmtId="0" fontId="13" fillId="0" borderId="64" xfId="0" applyFont="1" applyBorder="1" applyAlignment="1">
      <alignment vertical="center"/>
    </xf>
    <xf numFmtId="0" fontId="3" fillId="0" borderId="64" xfId="0" applyFont="1" applyFill="1" applyBorder="1" applyAlignment="1">
      <alignment horizontal="right" vertical="center"/>
    </xf>
    <xf numFmtId="0" fontId="13" fillId="0" borderId="64" xfId="0" applyFont="1" applyFill="1" applyBorder="1" applyAlignment="1">
      <alignment horizontal="right" vertical="center"/>
    </xf>
    <xf numFmtId="169" fontId="3" fillId="0" borderId="64" xfId="0" applyNumberFormat="1" applyFont="1" applyBorder="1" applyAlignment="1">
      <alignment horizontal="center" vertical="center"/>
    </xf>
    <xf numFmtId="169" fontId="13" fillId="0" borderId="64" xfId="0" applyNumberFormat="1" applyFont="1" applyBorder="1" applyAlignment="1">
      <alignment horizontal="center" vertical="center"/>
    </xf>
    <xf numFmtId="0" fontId="3" fillId="0" borderId="65" xfId="0" applyFont="1" applyBorder="1" applyAlignment="1">
      <alignment horizontal="left" vertical="center"/>
    </xf>
    <xf numFmtId="167" fontId="12" fillId="0" borderId="0" xfId="9" applyFont="1" applyFill="1" applyProtection="1">
      <protection locked="0"/>
    </xf>
    <xf numFmtId="0" fontId="1" fillId="0" borderId="0" xfId="9" applyNumberFormat="1" applyFont="1" applyFill="1" applyProtection="1">
      <protection locked="0"/>
    </xf>
    <xf numFmtId="167" fontId="1" fillId="0" borderId="0" xfId="9" applyFont="1" applyFill="1" applyAlignment="1" applyProtection="1">
      <protection locked="0"/>
    </xf>
    <xf numFmtId="170" fontId="1" fillId="0" borderId="0" xfId="9" applyNumberFormat="1" applyFont="1" applyFill="1" applyBorder="1" applyAlignment="1" applyProtection="1">
      <alignment vertical="center"/>
      <protection locked="0"/>
    </xf>
    <xf numFmtId="167" fontId="1" fillId="0" borderId="0" xfId="9" applyFont="1" applyFill="1" applyAlignment="1" applyProtection="1">
      <alignment horizontal="justify" vertical="center"/>
      <protection locked="0"/>
    </xf>
    <xf numFmtId="170" fontId="1" fillId="0" borderId="0" xfId="9" applyNumberFormat="1" applyFont="1" applyFill="1" applyAlignment="1" applyProtection="1">
      <alignment horizontal="justify" vertical="center"/>
      <protection locked="0"/>
    </xf>
    <xf numFmtId="170" fontId="12" fillId="0" borderId="0" xfId="9" applyNumberFormat="1" applyFont="1" applyFill="1" applyAlignment="1" applyProtection="1">
      <alignment horizontal="justify" vertical="center"/>
      <protection locked="0"/>
    </xf>
    <xf numFmtId="0" fontId="1" fillId="0" borderId="0" xfId="9" applyNumberFormat="1" applyFont="1" applyFill="1" applyAlignment="1" applyProtection="1">
      <alignment horizontal="center" vertical="center"/>
      <protection locked="0"/>
    </xf>
    <xf numFmtId="169" fontId="1" fillId="0" borderId="0" xfId="9" applyNumberFormat="1" applyFont="1" applyFill="1" applyAlignment="1" applyProtection="1">
      <alignment horizontal="center"/>
      <protection locked="0"/>
    </xf>
    <xf numFmtId="169" fontId="12" fillId="0" borderId="0" xfId="9" applyNumberFormat="1" applyFont="1" applyFill="1" applyAlignment="1" applyProtection="1">
      <alignment horizontal="center"/>
      <protection locked="0"/>
    </xf>
    <xf numFmtId="167" fontId="1" fillId="0" borderId="0" xfId="9" applyFont="1" applyFill="1" applyAlignment="1" applyProtection="1">
      <alignment horizontal="left"/>
      <protection locked="0"/>
    </xf>
    <xf numFmtId="167" fontId="12" fillId="0" borderId="0" xfId="9" applyFont="1" applyFill="1" applyAlignment="1" applyProtection="1">
      <alignment horizontal="left"/>
      <protection locked="0"/>
    </xf>
    <xf numFmtId="182" fontId="33" fillId="0" borderId="0" xfId="0" applyNumberFormat="1" applyFont="1" applyFill="1" applyAlignment="1">
      <alignment horizontal="right" vertical="center"/>
    </xf>
    <xf numFmtId="167" fontId="3" fillId="0" borderId="0" xfId="9" applyFont="1" applyFill="1" applyAlignment="1" applyProtection="1">
      <protection locked="0"/>
    </xf>
    <xf numFmtId="170" fontId="1" fillId="0" borderId="0" xfId="9" applyNumberFormat="1" applyFont="1" applyFill="1" applyProtection="1">
      <protection locked="0"/>
    </xf>
    <xf numFmtId="182" fontId="45" fillId="0" borderId="0" xfId="0" applyNumberFormat="1" applyFont="1" applyFill="1" applyAlignment="1">
      <alignment horizontal="right" vertical="center"/>
    </xf>
    <xf numFmtId="0" fontId="3" fillId="8" borderId="50" xfId="0" applyFont="1" applyFill="1" applyBorder="1" applyAlignment="1">
      <alignment horizontal="left" vertical="center"/>
    </xf>
    <xf numFmtId="0" fontId="3" fillId="8" borderId="6" xfId="0" applyFont="1" applyFill="1" applyBorder="1" applyAlignment="1">
      <alignment horizontal="center" vertical="center" wrapText="1"/>
    </xf>
    <xf numFmtId="0" fontId="9" fillId="8" borderId="7" xfId="0" applyFont="1" applyFill="1" applyBorder="1" applyAlignment="1">
      <alignment horizontal="left" vertical="center"/>
    </xf>
    <xf numFmtId="0" fontId="9" fillId="8" borderId="11" xfId="0" applyFont="1" applyFill="1" applyBorder="1" applyAlignment="1">
      <alignment horizontal="left" vertical="center"/>
    </xf>
    <xf numFmtId="0" fontId="7" fillId="8" borderId="11" xfId="0" applyFont="1" applyFill="1" applyBorder="1" applyAlignment="1">
      <alignment horizontal="left" vertical="center"/>
    </xf>
    <xf numFmtId="0" fontId="9" fillId="8" borderId="50" xfId="0" applyFont="1" applyFill="1" applyBorder="1" applyAlignment="1">
      <alignment horizontal="left" vertical="center"/>
    </xf>
    <xf numFmtId="0" fontId="3" fillId="17" borderId="1" xfId="0" applyFont="1" applyFill="1" applyBorder="1" applyAlignment="1">
      <alignment horizontal="center" vertical="center" wrapText="1"/>
    </xf>
    <xf numFmtId="0" fontId="3" fillId="17" borderId="7" xfId="0" applyFont="1" applyFill="1" applyBorder="1" applyAlignment="1">
      <alignment horizontal="left" vertical="center"/>
    </xf>
    <xf numFmtId="0" fontId="3" fillId="17" borderId="11" xfId="0" applyFont="1" applyFill="1" applyBorder="1" applyAlignment="1">
      <alignment horizontal="left" vertical="center"/>
    </xf>
    <xf numFmtId="0" fontId="13" fillId="17" borderId="11" xfId="0" applyFont="1" applyFill="1" applyBorder="1" applyAlignment="1">
      <alignment horizontal="left" vertical="center"/>
    </xf>
    <xf numFmtId="170" fontId="7" fillId="17" borderId="11" xfId="0" applyNumberFormat="1" applyFont="1" applyFill="1" applyBorder="1" applyAlignment="1">
      <alignment horizontal="left" vertical="center"/>
    </xf>
    <xf numFmtId="0" fontId="7" fillId="17" borderId="11" xfId="0" applyFont="1" applyFill="1" applyBorder="1" applyAlignment="1">
      <alignment horizontal="left" vertical="center"/>
    </xf>
    <xf numFmtId="0" fontId="3" fillId="17" borderId="50" xfId="0" applyFont="1" applyFill="1" applyBorder="1" applyAlignment="1">
      <alignment horizontal="left" vertical="center"/>
    </xf>
    <xf numFmtId="0" fontId="3" fillId="8" borderId="13" xfId="0" applyFont="1" applyFill="1" applyBorder="1" applyAlignment="1">
      <alignment horizontal="center" vertical="center" wrapText="1"/>
    </xf>
    <xf numFmtId="0" fontId="11" fillId="8" borderId="8" xfId="0" applyFont="1" applyFill="1" applyBorder="1" applyAlignment="1">
      <alignment horizontal="left" vertical="center"/>
    </xf>
    <xf numFmtId="0" fontId="11" fillId="8" borderId="2" xfId="0" applyFont="1" applyFill="1" applyBorder="1" applyAlignment="1">
      <alignment horizontal="left" vertical="center"/>
    </xf>
    <xf numFmtId="170" fontId="11" fillId="8" borderId="2" xfId="0" applyNumberFormat="1" applyFont="1" applyFill="1" applyBorder="1" applyAlignment="1">
      <alignment horizontal="left" vertical="center"/>
    </xf>
    <xf numFmtId="0" fontId="7" fillId="8" borderId="2" xfId="0" applyFont="1" applyFill="1" applyBorder="1" applyAlignment="1">
      <alignment horizontal="left" vertical="center"/>
    </xf>
    <xf numFmtId="0" fontId="11" fillId="8" borderId="60" xfId="0" applyFont="1" applyFill="1" applyBorder="1" applyAlignment="1">
      <alignment horizontal="left" vertical="center"/>
    </xf>
    <xf numFmtId="0" fontId="11" fillId="8" borderId="7" xfId="0" applyFont="1" applyFill="1" applyBorder="1" applyAlignment="1">
      <alignment horizontal="left" vertical="center"/>
    </xf>
    <xf numFmtId="0" fontId="11" fillId="8" borderId="11" xfId="0" applyFont="1" applyFill="1" applyBorder="1" applyAlignment="1">
      <alignment horizontal="left" vertical="center"/>
    </xf>
    <xf numFmtId="194" fontId="11" fillId="8" borderId="11" xfId="0" applyNumberFormat="1" applyFont="1" applyFill="1" applyBorder="1" applyAlignment="1">
      <alignment horizontal="left" vertical="center"/>
    </xf>
    <xf numFmtId="0" fontId="11" fillId="8" borderId="50" xfId="0" applyFont="1" applyFill="1" applyBorder="1" applyAlignment="1">
      <alignment horizontal="left" vertical="center"/>
    </xf>
    <xf numFmtId="0" fontId="11" fillId="8" borderId="1" xfId="0" applyFont="1" applyFill="1" applyBorder="1" applyAlignment="1">
      <alignment vertical="center"/>
    </xf>
    <xf numFmtId="0" fontId="13" fillId="8" borderId="7" xfId="0" applyFont="1" applyFill="1" applyBorder="1" applyAlignment="1">
      <alignment vertical="center"/>
    </xf>
    <xf numFmtId="183" fontId="7" fillId="8" borderId="11" xfId="0" applyNumberFormat="1" applyFont="1" applyFill="1" applyBorder="1" applyAlignment="1">
      <alignment vertical="center"/>
    </xf>
    <xf numFmtId="0" fontId="7" fillId="8" borderId="11" xfId="0" applyFont="1" applyFill="1" applyBorder="1" applyAlignment="1">
      <alignment vertical="center"/>
    </xf>
    <xf numFmtId="0" fontId="11" fillId="8" borderId="50" xfId="0" applyFont="1" applyFill="1" applyBorder="1" applyAlignment="1">
      <alignment vertical="center"/>
    </xf>
    <xf numFmtId="0" fontId="9" fillId="8" borderId="3" xfId="0" applyFont="1" applyFill="1" applyBorder="1" applyAlignment="1">
      <alignment horizontal="left" vertical="center"/>
    </xf>
    <xf numFmtId="0" fontId="9" fillId="8" borderId="7" xfId="0" applyFont="1" applyFill="1" applyBorder="1" applyAlignment="1">
      <alignment vertical="center"/>
    </xf>
    <xf numFmtId="0" fontId="9" fillId="8" borderId="11" xfId="0" applyFont="1" applyFill="1" applyBorder="1" applyAlignment="1">
      <alignment vertical="center"/>
    </xf>
    <xf numFmtId="0" fontId="9" fillId="8" borderId="50" xfId="0" applyFont="1" applyFill="1" applyBorder="1" applyAlignment="1">
      <alignment vertical="center"/>
    </xf>
    <xf numFmtId="175" fontId="11" fillId="0" borderId="0" xfId="14" applyNumberFormat="1" applyFont="1" applyFill="1" applyBorder="1" applyAlignment="1">
      <alignment horizontal="center" vertical="center"/>
    </xf>
    <xf numFmtId="175" fontId="13" fillId="0" borderId="0" xfId="14" applyNumberFormat="1" applyFont="1" applyFill="1" applyBorder="1" applyAlignment="1">
      <alignment horizontal="right" vertical="center"/>
    </xf>
    <xf numFmtId="175" fontId="13" fillId="0" borderId="0" xfId="14" applyNumberFormat="1" applyFont="1" applyFill="1" applyBorder="1" applyAlignment="1">
      <alignment horizontal="justify" vertical="center"/>
    </xf>
    <xf numFmtId="44" fontId="1" fillId="0" borderId="0" xfId="0" applyNumberFormat="1" applyFont="1" applyFill="1" applyBorder="1" applyAlignment="1">
      <alignment horizontal="justify" vertical="center"/>
    </xf>
    <xf numFmtId="44" fontId="12" fillId="0" borderId="0" xfId="0" applyNumberFormat="1" applyFont="1" applyFill="1" applyBorder="1" applyAlignment="1">
      <alignment horizontal="justify" vertical="center"/>
    </xf>
    <xf numFmtId="175" fontId="1" fillId="0" borderId="0" xfId="0" applyNumberFormat="1" applyFont="1" applyFill="1" applyBorder="1" applyAlignment="1">
      <alignment horizontal="justify" vertical="center"/>
    </xf>
    <xf numFmtId="175" fontId="12" fillId="0" borderId="0" xfId="0" applyNumberFormat="1" applyFont="1" applyFill="1" applyBorder="1" applyAlignment="1">
      <alignment horizontal="justify" vertical="center"/>
    </xf>
    <xf numFmtId="0" fontId="1" fillId="0" borderId="12" xfId="0" applyFont="1" applyFill="1" applyBorder="1" applyAlignment="1">
      <alignment horizontal="center" vertical="center"/>
    </xf>
    <xf numFmtId="0" fontId="1" fillId="0" borderId="12" xfId="0" applyFont="1" applyFill="1" applyBorder="1" applyAlignment="1"/>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12" fillId="0" borderId="0" xfId="0" applyFont="1" applyFill="1" applyBorder="1" applyAlignment="1">
      <alignment horizontal="center" vertical="center"/>
    </xf>
    <xf numFmtId="168" fontId="1" fillId="0" borderId="0" xfId="0" applyNumberFormat="1" applyFont="1" applyFill="1" applyBorder="1" applyAlignment="1">
      <alignment horizontal="justify" vertical="center"/>
    </xf>
    <xf numFmtId="168" fontId="12" fillId="0" borderId="0" xfId="0" applyNumberFormat="1" applyFont="1" applyFill="1" applyBorder="1" applyAlignment="1">
      <alignment horizontal="justify" vertical="center"/>
    </xf>
    <xf numFmtId="0" fontId="1" fillId="0" borderId="0" xfId="0" applyFont="1" applyFill="1" applyBorder="1" applyAlignment="1"/>
    <xf numFmtId="0" fontId="12" fillId="0" borderId="0" xfId="0" applyFont="1" applyFill="1" applyBorder="1" applyAlignment="1"/>
    <xf numFmtId="44" fontId="1" fillId="0" borderId="0" xfId="14" applyFont="1" applyFill="1" applyBorder="1" applyAlignment="1"/>
    <xf numFmtId="9" fontId="1" fillId="0" borderId="0" xfId="5" applyFont="1" applyFill="1" applyBorder="1" applyAlignment="1"/>
    <xf numFmtId="169" fontId="1" fillId="0" borderId="0" xfId="0" applyNumberFormat="1" applyFont="1" applyFill="1" applyBorder="1" applyAlignment="1">
      <alignment horizontal="center"/>
    </xf>
    <xf numFmtId="0" fontId="1" fillId="0" borderId="0" xfId="0" applyFont="1" applyFill="1" applyBorder="1" applyAlignment="1">
      <alignment horizontal="left"/>
    </xf>
    <xf numFmtId="0" fontId="12" fillId="0" borderId="0" xfId="0" applyFont="1" applyFill="1" applyBorder="1" applyAlignment="1">
      <alignment horizontal="justify" vertical="center"/>
    </xf>
    <xf numFmtId="0" fontId="12" fillId="0" borderId="0" xfId="0" applyFont="1" applyFill="1" applyBorder="1" applyAlignment="1">
      <alignment horizontal="center"/>
    </xf>
    <xf numFmtId="164" fontId="1" fillId="0" borderId="0" xfId="0" applyNumberFormat="1" applyFont="1" applyFill="1" applyBorder="1" applyAlignment="1">
      <alignment horizontal="justify" vertical="center"/>
    </xf>
    <xf numFmtId="1" fontId="12" fillId="0" borderId="0" xfId="0" applyNumberFormat="1" applyFont="1" applyFill="1" applyBorder="1" applyAlignment="1"/>
    <xf numFmtId="1" fontId="1" fillId="0" borderId="0" xfId="0" applyNumberFormat="1" applyFont="1" applyFill="1" applyBorder="1" applyAlignment="1"/>
    <xf numFmtId="0" fontId="3" fillId="0" borderId="0" xfId="0" applyFont="1" applyFill="1" applyBorder="1" applyAlignment="1">
      <alignment horizontal="justify" vertical="center"/>
    </xf>
    <xf numFmtId="170" fontId="11" fillId="0" borderId="0" xfId="0" applyNumberFormat="1" applyFont="1" applyFill="1" applyBorder="1" applyAlignment="1">
      <alignment horizontal="right" vertical="center"/>
    </xf>
    <xf numFmtId="44" fontId="11" fillId="0" borderId="0" xfId="14" applyFont="1" applyFill="1" applyBorder="1" applyAlignment="1">
      <alignment horizontal="right" vertical="center"/>
    </xf>
    <xf numFmtId="0" fontId="3" fillId="0" borderId="51" xfId="0" applyFont="1" applyFill="1" applyBorder="1" applyAlignment="1">
      <alignment horizontal="justify" vertical="center"/>
    </xf>
    <xf numFmtId="0" fontId="3" fillId="0" borderId="35" xfId="0" applyFont="1" applyFill="1" applyBorder="1" applyAlignment="1">
      <alignment horizontal="justify" vertical="center"/>
    </xf>
    <xf numFmtId="0" fontId="3" fillId="0" borderId="35" xfId="0" applyFont="1" applyFill="1" applyBorder="1" applyAlignment="1">
      <alignment horizontal="center" vertical="center"/>
    </xf>
    <xf numFmtId="42" fontId="3" fillId="0" borderId="35" xfId="0" applyNumberFormat="1" applyFont="1" applyFill="1" applyBorder="1" applyAlignment="1">
      <alignment horizontal="justify" vertical="center"/>
    </xf>
    <xf numFmtId="175" fontId="3" fillId="0" borderId="35" xfId="14" applyNumberFormat="1" applyFont="1" applyFill="1" applyBorder="1" applyAlignment="1">
      <alignment horizontal="justify" vertical="center"/>
    </xf>
    <xf numFmtId="42" fontId="11" fillId="0" borderId="35" xfId="0" applyNumberFormat="1" applyFont="1" applyFill="1" applyBorder="1" applyAlignment="1">
      <alignment horizontal="justify" vertical="center"/>
    </xf>
    <xf numFmtId="0" fontId="1" fillId="0" borderId="35" xfId="0" applyFont="1" applyFill="1" applyBorder="1" applyAlignment="1">
      <alignment horizontal="center" vertical="center"/>
    </xf>
    <xf numFmtId="0" fontId="1" fillId="0" borderId="35" xfId="0" applyFont="1" applyFill="1" applyBorder="1" applyAlignment="1">
      <alignment horizontal="justify" vertical="center"/>
    </xf>
    <xf numFmtId="0" fontId="1" fillId="0" borderId="35" xfId="0" applyFont="1" applyFill="1" applyBorder="1" applyAlignment="1"/>
    <xf numFmtId="0" fontId="12" fillId="0" borderId="35" xfId="0" applyFont="1" applyFill="1" applyBorder="1" applyAlignment="1"/>
    <xf numFmtId="0" fontId="1" fillId="0" borderId="35" xfId="0" applyFont="1" applyFill="1" applyBorder="1"/>
    <xf numFmtId="44" fontId="1" fillId="0" borderId="35" xfId="14" applyFont="1" applyFill="1" applyBorder="1" applyAlignment="1"/>
    <xf numFmtId="9" fontId="1" fillId="0" borderId="35" xfId="5" applyFont="1" applyFill="1" applyBorder="1" applyAlignment="1"/>
    <xf numFmtId="0" fontId="1" fillId="0" borderId="35" xfId="0" applyFont="1" applyFill="1" applyBorder="1" applyAlignment="1">
      <alignment horizontal="right" vertical="center"/>
    </xf>
    <xf numFmtId="0" fontId="12" fillId="0" borderId="35" xfId="0" applyFont="1" applyFill="1" applyBorder="1" applyAlignment="1">
      <alignment horizontal="right" vertical="center"/>
    </xf>
    <xf numFmtId="169" fontId="1" fillId="0" borderId="35" xfId="0" applyNumberFormat="1" applyFont="1" applyFill="1" applyBorder="1" applyAlignment="1">
      <alignment horizontal="center"/>
    </xf>
    <xf numFmtId="169" fontId="12" fillId="0" borderId="35" xfId="0" applyNumberFormat="1" applyFont="1" applyFill="1" applyBorder="1" applyAlignment="1">
      <alignment horizontal="center"/>
    </xf>
    <xf numFmtId="0" fontId="1" fillId="0" borderId="58" xfId="0" applyFont="1" applyFill="1" applyBorder="1" applyAlignment="1">
      <alignment horizontal="left"/>
    </xf>
    <xf numFmtId="0" fontId="3" fillId="0" borderId="57" xfId="0" applyFont="1" applyFill="1" applyBorder="1" applyAlignment="1">
      <alignment vertical="center"/>
    </xf>
    <xf numFmtId="0" fontId="3" fillId="0" borderId="37" xfId="0" applyFont="1" applyFill="1" applyBorder="1" applyAlignment="1">
      <alignment vertical="center"/>
    </xf>
    <xf numFmtId="0" fontId="3" fillId="0" borderId="37" xfId="0" applyFont="1" applyFill="1" applyBorder="1" applyAlignment="1">
      <alignment horizontal="center" vertical="center"/>
    </xf>
    <xf numFmtId="164" fontId="3" fillId="0" borderId="37" xfId="0" applyNumberFormat="1" applyFont="1" applyFill="1" applyBorder="1" applyAlignment="1">
      <alignment horizontal="justify" vertical="center"/>
    </xf>
    <xf numFmtId="175" fontId="3" fillId="0" borderId="37" xfId="14" applyNumberFormat="1" applyFont="1" applyFill="1" applyBorder="1" applyAlignment="1">
      <alignment horizontal="justify" vertical="center"/>
    </xf>
    <xf numFmtId="175" fontId="13" fillId="0" borderId="37" xfId="14" applyNumberFormat="1" applyFont="1" applyFill="1" applyBorder="1" applyAlignment="1">
      <alignment horizontal="justify" vertical="center"/>
    </xf>
    <xf numFmtId="0" fontId="1" fillId="0" borderId="37" xfId="0" applyFont="1" applyFill="1" applyBorder="1" applyAlignment="1"/>
    <xf numFmtId="0" fontId="12" fillId="0" borderId="37" xfId="0" applyFont="1" applyFill="1" applyBorder="1" applyAlignment="1"/>
    <xf numFmtId="44" fontId="3" fillId="0" borderId="37" xfId="14" applyFont="1" applyFill="1" applyBorder="1" applyAlignment="1">
      <alignment horizontal="center" vertical="center"/>
    </xf>
    <xf numFmtId="9" fontId="1" fillId="0" borderId="37" xfId="5" applyFont="1" applyFill="1" applyBorder="1" applyAlignment="1"/>
    <xf numFmtId="169" fontId="12" fillId="0" borderId="37" xfId="0" applyNumberFormat="1" applyFont="1" applyFill="1" applyBorder="1" applyAlignment="1">
      <alignment horizontal="center"/>
    </xf>
    <xf numFmtId="185" fontId="1" fillId="2" borderId="37" xfId="0" applyNumberFormat="1" applyFont="1" applyFill="1" applyBorder="1" applyAlignment="1">
      <alignment horizontal="center" vertical="center" wrapText="1"/>
    </xf>
    <xf numFmtId="0" fontId="1" fillId="0" borderId="18" xfId="0" applyFont="1" applyFill="1" applyBorder="1" applyAlignment="1">
      <alignment horizontal="justify" vertical="center" wrapText="1"/>
    </xf>
    <xf numFmtId="9" fontId="1" fillId="2" borderId="31" xfId="5" applyFont="1" applyFill="1" applyBorder="1" applyAlignment="1">
      <alignment horizontal="center" vertical="center" wrapText="1"/>
    </xf>
    <xf numFmtId="3" fontId="1" fillId="2" borderId="31" xfId="0" applyNumberFormat="1" applyFont="1" applyFill="1" applyBorder="1" applyAlignment="1">
      <alignment horizontal="center" vertical="center" wrapText="1"/>
    </xf>
    <xf numFmtId="2" fontId="1" fillId="2" borderId="17" xfId="0" applyNumberFormat="1" applyFont="1" applyFill="1" applyBorder="1" applyAlignment="1">
      <alignment horizontal="justify" vertical="center" wrapText="1"/>
    </xf>
    <xf numFmtId="0" fontId="1" fillId="0" borderId="69" xfId="0" applyFont="1" applyBorder="1" applyAlignment="1">
      <alignment horizontal="left"/>
    </xf>
    <xf numFmtId="0" fontId="1" fillId="0" borderId="3" xfId="0" applyFont="1" applyFill="1" applyBorder="1" applyAlignment="1">
      <alignment horizontal="left"/>
    </xf>
    <xf numFmtId="0" fontId="1" fillId="0" borderId="6" xfId="0" applyFont="1" applyFill="1" applyBorder="1"/>
    <xf numFmtId="0" fontId="1" fillId="0" borderId="4" xfId="0" applyFont="1" applyFill="1" applyBorder="1"/>
    <xf numFmtId="0" fontId="1" fillId="0" borderId="5" xfId="0" applyFont="1" applyFill="1" applyBorder="1"/>
    <xf numFmtId="0" fontId="12" fillId="0" borderId="12" xfId="0" applyFont="1" applyFill="1" applyBorder="1"/>
    <xf numFmtId="43" fontId="24" fillId="0" borderId="0" xfId="13" applyFont="1" applyFill="1" applyBorder="1" applyAlignment="1">
      <alignment horizontal="center" vertical="center"/>
    </xf>
    <xf numFmtId="14" fontId="1" fillId="2" borderId="13" xfId="9" applyNumberFormat="1" applyFont="1" applyFill="1" applyBorder="1" applyAlignment="1" applyProtection="1">
      <alignment horizontal="center" vertical="center"/>
      <protection locked="0"/>
    </xf>
    <xf numFmtId="14" fontId="12" fillId="2" borderId="13" xfId="9" applyNumberFormat="1" applyFont="1" applyFill="1" applyBorder="1" applyAlignment="1" applyProtection="1">
      <alignment horizontal="center" vertical="center"/>
      <protection locked="0"/>
    </xf>
    <xf numFmtId="14" fontId="1" fillId="2" borderId="13" xfId="9" applyNumberFormat="1" applyFont="1" applyFill="1" applyBorder="1" applyAlignment="1" applyProtection="1">
      <alignment horizontal="center"/>
      <protection locked="0"/>
    </xf>
    <xf numFmtId="14" fontId="12" fillId="2" borderId="13" xfId="9" applyNumberFormat="1" applyFont="1" applyFill="1" applyBorder="1" applyAlignment="1" applyProtection="1">
      <alignment horizontal="center"/>
      <protection locked="0"/>
    </xf>
    <xf numFmtId="14" fontId="1" fillId="2" borderId="10" xfId="9" applyNumberFormat="1" applyFont="1" applyFill="1" applyBorder="1" applyAlignment="1" applyProtection="1">
      <alignment horizontal="center"/>
      <protection locked="0"/>
    </xf>
    <xf numFmtId="14" fontId="12" fillId="2" borderId="10" xfId="9" applyNumberFormat="1" applyFont="1" applyFill="1" applyBorder="1" applyAlignment="1" applyProtection="1">
      <alignment horizontal="center"/>
      <protection locked="0"/>
    </xf>
    <xf numFmtId="168" fontId="1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0" fontId="3" fillId="8" borderId="10" xfId="0" applyFont="1" applyFill="1" applyBorder="1" applyAlignment="1">
      <alignment horizontal="center" vertical="center"/>
    </xf>
    <xf numFmtId="0" fontId="3" fillId="8" borderId="8" xfId="0" applyFont="1" applyFill="1" applyBorder="1" applyAlignment="1">
      <alignment horizontal="center" vertical="center"/>
    </xf>
    <xf numFmtId="0" fontId="13" fillId="0" borderId="35" xfId="0" applyFont="1" applyFill="1" applyBorder="1" applyAlignment="1">
      <alignment horizontal="justify" vertical="center"/>
    </xf>
    <xf numFmtId="0" fontId="13" fillId="0" borderId="37" xfId="0" applyFont="1" applyFill="1" applyBorder="1" applyAlignment="1">
      <alignment vertical="center"/>
    </xf>
    <xf numFmtId="0" fontId="1" fillId="3" borderId="14" xfId="0" applyFont="1" applyFill="1" applyBorder="1" applyAlignment="1">
      <alignment vertical="center" wrapText="1"/>
    </xf>
    <xf numFmtId="0" fontId="1" fillId="6" borderId="11" xfId="0" applyFont="1" applyFill="1" applyBorder="1" applyAlignment="1">
      <alignment vertical="center"/>
    </xf>
    <xf numFmtId="0" fontId="1" fillId="11" borderId="2" xfId="0" applyFont="1" applyFill="1" applyBorder="1" applyAlignment="1">
      <alignment vertical="center"/>
    </xf>
    <xf numFmtId="0" fontId="1" fillId="8" borderId="12" xfId="0" applyFont="1" applyFill="1" applyBorder="1" applyAlignment="1">
      <alignment vertical="center"/>
    </xf>
    <xf numFmtId="0" fontId="1" fillId="0" borderId="37" xfId="0" applyFont="1" applyFill="1" applyBorder="1" applyAlignment="1">
      <alignment vertical="center"/>
    </xf>
    <xf numFmtId="0" fontId="12" fillId="0" borderId="18" xfId="0" applyFont="1" applyFill="1" applyBorder="1" applyAlignment="1">
      <alignment horizontal="center" vertical="center" wrapText="1"/>
    </xf>
    <xf numFmtId="0" fontId="3" fillId="6" borderId="11" xfId="0" applyFont="1" applyFill="1" applyBorder="1" applyAlignment="1">
      <alignment horizontal="justify" vertical="center" wrapText="1"/>
    </xf>
    <xf numFmtId="164" fontId="1" fillId="0" borderId="6" xfId="17" applyFont="1" applyFill="1" applyBorder="1" applyAlignment="1">
      <alignment vertical="center" wrapText="1"/>
    </xf>
    <xf numFmtId="0" fontId="27" fillId="0" borderId="0" xfId="0" applyFont="1" applyFill="1" applyAlignment="1">
      <alignment horizontal="center"/>
    </xf>
    <xf numFmtId="164" fontId="1" fillId="0" borderId="0" xfId="17" applyFont="1" applyFill="1" applyBorder="1" applyAlignment="1">
      <alignment horizontal="justify" vertical="center"/>
    </xf>
    <xf numFmtId="0" fontId="3" fillId="3" borderId="1" xfId="0" applyFont="1" applyFill="1" applyBorder="1" applyAlignment="1">
      <alignment horizontal="center" vertical="center" wrapText="1"/>
    </xf>
    <xf numFmtId="169" fontId="3" fillId="3" borderId="8"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readingOrder="2"/>
    </xf>
    <xf numFmtId="169" fontId="12" fillId="0" borderId="6"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wrapText="1"/>
    </xf>
    <xf numFmtId="169" fontId="7" fillId="0" borderId="1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170" fontId="7" fillId="0" borderId="6" xfId="0" applyNumberFormat="1" applyFont="1" applyFill="1" applyBorder="1" applyAlignment="1">
      <alignment horizontal="center" vertical="center" wrapText="1"/>
    </xf>
    <xf numFmtId="9" fontId="7" fillId="2" borderId="6" xfId="5"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9" fontId="7" fillId="2" borderId="1" xfId="5"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13" xfId="0" applyFont="1" applyFill="1" applyBorder="1" applyAlignment="1">
      <alignment horizontal="justify" vertical="center" wrapText="1"/>
    </xf>
    <xf numFmtId="9" fontId="7" fillId="0" borderId="1" xfId="5" applyFont="1" applyFill="1" applyBorder="1" applyAlignment="1">
      <alignment horizontal="center" vertical="center" wrapText="1"/>
    </xf>
    <xf numFmtId="170" fontId="12" fillId="2" borderId="10" xfId="0" applyNumberFormat="1" applyFont="1" applyFill="1" applyBorder="1" applyAlignment="1">
      <alignment horizontal="center" vertical="center" wrapText="1"/>
    </xf>
    <xf numFmtId="170" fontId="12" fillId="0" borderId="6"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9" fontId="1" fillId="0" borderId="1" xfId="5" applyFont="1" applyFill="1" applyBorder="1" applyAlignment="1">
      <alignment horizontal="center" vertical="center" wrapText="1"/>
    </xf>
    <xf numFmtId="9" fontId="1" fillId="0" borderId="6" xfId="5" applyFont="1" applyFill="1" applyBorder="1" applyAlignment="1">
      <alignment horizontal="center" vertical="center" wrapText="1"/>
    </xf>
    <xf numFmtId="170" fontId="1" fillId="0" borderId="1" xfId="0" applyNumberFormat="1" applyFont="1" applyFill="1" applyBorder="1" applyAlignment="1">
      <alignment horizontal="center" vertical="center" wrapText="1"/>
    </xf>
    <xf numFmtId="170" fontId="1" fillId="0" borderId="6"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70" fontId="1" fillId="0" borderId="13" xfId="0" applyNumberFormat="1" applyFont="1" applyFill="1" applyBorder="1" applyAlignment="1">
      <alignment horizontal="center" vertical="center" wrapText="1"/>
    </xf>
    <xf numFmtId="169" fontId="1" fillId="0" borderId="6" xfId="0" applyNumberFormat="1" applyFont="1" applyFill="1" applyBorder="1" applyAlignment="1">
      <alignment horizontal="center" vertical="center" wrapText="1"/>
    </xf>
    <xf numFmtId="0" fontId="1" fillId="0" borderId="0" xfId="0" applyFont="1" applyAlignment="1">
      <alignment horizontal="center"/>
    </xf>
    <xf numFmtId="170" fontId="7" fillId="2" borderId="10" xfId="0" applyNumberFormat="1" applyFont="1" applyFill="1" applyBorder="1" applyAlignment="1">
      <alignment horizontal="center" vertical="center" wrapText="1"/>
    </xf>
    <xf numFmtId="181" fontId="12" fillId="2" borderId="6" xfId="0" applyNumberFormat="1" applyFont="1" applyFill="1" applyBorder="1" applyAlignment="1">
      <alignment horizontal="center" vertical="center"/>
    </xf>
    <xf numFmtId="181" fontId="12" fillId="2" borderId="13" xfId="0" applyNumberFormat="1" applyFont="1" applyFill="1" applyBorder="1" applyAlignment="1">
      <alignment horizontal="center" vertical="center"/>
    </xf>
    <xf numFmtId="181" fontId="12" fillId="2" borderId="10" xfId="0" applyNumberFormat="1" applyFont="1" applyFill="1" applyBorder="1" applyAlignment="1">
      <alignment horizontal="center" vertical="center"/>
    </xf>
    <xf numFmtId="0" fontId="7" fillId="2" borderId="6"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7" fillId="2" borderId="10" xfId="0" applyFont="1" applyFill="1" applyBorder="1" applyAlignment="1">
      <alignment horizontal="justify" vertical="center" wrapText="1"/>
    </xf>
    <xf numFmtId="1" fontId="7" fillId="2" borderId="13"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xf>
    <xf numFmtId="1" fontId="7" fillId="2" borderId="13"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1" fontId="7" fillId="2" borderId="6"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14" fontId="12" fillId="2" borderId="6" xfId="0" applyNumberFormat="1" applyFont="1" applyFill="1" applyBorder="1" applyAlignment="1">
      <alignment horizontal="center" vertical="center"/>
    </xf>
    <xf numFmtId="14" fontId="12" fillId="2" borderId="10" xfId="0" applyNumberFormat="1" applyFont="1" applyFill="1" applyBorder="1" applyAlignment="1">
      <alignment horizontal="center" vertical="center"/>
    </xf>
    <xf numFmtId="170" fontId="7" fillId="2" borderId="6" xfId="0" applyNumberFormat="1" applyFont="1" applyFill="1" applyBorder="1" applyAlignment="1">
      <alignment horizontal="center" vertical="center"/>
    </xf>
    <xf numFmtId="170" fontId="7" fillId="2" borderId="13" xfId="0" applyNumberFormat="1" applyFont="1" applyFill="1" applyBorder="1" applyAlignment="1">
      <alignment horizontal="center" vertical="center"/>
    </xf>
    <xf numFmtId="170" fontId="7" fillId="2" borderId="10" xfId="0" applyNumberFormat="1" applyFont="1" applyFill="1" applyBorder="1" applyAlignment="1">
      <alignment horizontal="center" vertical="center"/>
    </xf>
    <xf numFmtId="0" fontId="12" fillId="2" borderId="10" xfId="0" applyFont="1" applyFill="1" applyBorder="1" applyAlignment="1">
      <alignment horizontal="center"/>
    </xf>
    <xf numFmtId="180"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 fontId="12" fillId="2" borderId="6"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170" fontId="7" fillId="0" borderId="6"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1" fontId="12" fillId="0" borderId="13" xfId="0" applyNumberFormat="1" applyFont="1" applyFill="1" applyBorder="1" applyAlignment="1">
      <alignment horizontal="center" vertical="center"/>
    </xf>
    <xf numFmtId="0" fontId="12" fillId="2" borderId="6"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3" fillId="0" borderId="2" xfId="0" applyFont="1" applyBorder="1" applyAlignment="1">
      <alignment horizontal="center" vertical="center"/>
    </xf>
    <xf numFmtId="169" fontId="3" fillId="3" borderId="1"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11" xfId="0" applyFont="1" applyFill="1" applyBorder="1" applyAlignment="1">
      <alignment horizontal="left" vertical="center"/>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2" borderId="0" xfId="0" applyFont="1" applyFill="1" applyAlignment="1">
      <alignment horizontal="center"/>
    </xf>
    <xf numFmtId="0" fontId="1" fillId="2" borderId="2"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1" fontId="1" fillId="2" borderId="6"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3" fontId="1" fillId="2" borderId="10" xfId="0" applyNumberFormat="1" applyFont="1" applyFill="1" applyBorder="1" applyAlignment="1">
      <alignment horizontal="justify" vertical="center" wrapText="1"/>
    </xf>
    <xf numFmtId="3" fontId="1" fillId="2" borderId="30" xfId="0" applyNumberFormat="1" applyFont="1" applyFill="1" applyBorder="1" applyAlignment="1">
      <alignment horizontal="center" vertical="center" wrapText="1"/>
    </xf>
    <xf numFmtId="9" fontId="1" fillId="2" borderId="6" xfId="5" applyFont="1" applyFill="1" applyBorder="1" applyAlignment="1">
      <alignment horizontal="center" vertical="center" wrapText="1"/>
    </xf>
    <xf numFmtId="9" fontId="1" fillId="2" borderId="10" xfId="5"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3"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3" fillId="11" borderId="12" xfId="0" applyFont="1" applyFill="1" applyBorder="1" applyAlignment="1">
      <alignment horizontal="left" vertical="center"/>
    </xf>
    <xf numFmtId="0" fontId="3" fillId="11" borderId="11" xfId="0" applyFont="1" applyFill="1" applyBorder="1" applyAlignment="1">
      <alignment horizontal="left" vertical="center"/>
    </xf>
    <xf numFmtId="0" fontId="3" fillId="7" borderId="12" xfId="0" applyFont="1" applyFill="1" applyBorder="1" applyAlignment="1">
      <alignment horizontal="left" vertical="center"/>
    </xf>
    <xf numFmtId="0" fontId="3" fillId="7" borderId="11" xfId="0" applyFont="1" applyFill="1" applyBorder="1" applyAlignment="1">
      <alignment horizontal="left" vertical="center"/>
    </xf>
    <xf numFmtId="0" fontId="3" fillId="13" borderId="13" xfId="0"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justify" vertical="center" wrapText="1"/>
    </xf>
    <xf numFmtId="0" fontId="3" fillId="0" borderId="12" xfId="0" applyFont="1" applyBorder="1" applyAlignment="1">
      <alignment horizontal="center" vertical="center"/>
    </xf>
    <xf numFmtId="3" fontId="1" fillId="0" borderId="6" xfId="18" applyNumberFormat="1" applyFont="1" applyBorder="1" applyAlignment="1">
      <alignment horizontal="center" vertical="center"/>
    </xf>
    <xf numFmtId="3" fontId="1" fillId="0" borderId="10" xfId="18" applyNumberFormat="1" applyFont="1" applyBorder="1" applyAlignment="1">
      <alignment horizontal="center" vertical="center"/>
    </xf>
    <xf numFmtId="9" fontId="1" fillId="0" borderId="6" xfId="18" applyNumberFormat="1" applyFont="1" applyBorder="1" applyAlignment="1">
      <alignment horizontal="center" vertical="center"/>
    </xf>
    <xf numFmtId="167" fontId="1" fillId="2" borderId="6" xfId="18" applyFont="1" applyFill="1" applyBorder="1" applyAlignment="1">
      <alignment horizontal="left" vertical="center" wrapText="1"/>
    </xf>
    <xf numFmtId="189" fontId="12" fillId="0" borderId="1" xfId="15" applyNumberFormat="1" applyFont="1" applyFill="1" applyBorder="1" applyAlignment="1">
      <alignment horizontal="center" vertical="center"/>
    </xf>
    <xf numFmtId="167" fontId="1" fillId="2" borderId="13" xfId="18" applyFont="1" applyFill="1" applyBorder="1" applyAlignment="1">
      <alignment horizontal="center" vertical="center" wrapText="1"/>
    </xf>
    <xf numFmtId="170" fontId="1" fillId="2" borderId="6" xfId="18" applyNumberFormat="1" applyFont="1" applyFill="1" applyBorder="1" applyAlignment="1">
      <alignment horizontal="center" vertical="center"/>
    </xf>
    <xf numFmtId="170" fontId="1" fillId="2" borderId="13" xfId="18" applyNumberFormat="1" applyFont="1" applyFill="1" applyBorder="1" applyAlignment="1">
      <alignment horizontal="center" vertical="center"/>
    </xf>
    <xf numFmtId="167" fontId="1" fillId="2" borderId="10" xfId="18" applyFont="1" applyFill="1" applyBorder="1" applyAlignment="1">
      <alignment horizontal="left" vertical="center" wrapText="1"/>
    </xf>
    <xf numFmtId="0" fontId="1" fillId="2" borderId="13" xfId="18" applyNumberFormat="1" applyFont="1" applyFill="1" applyBorder="1" applyAlignment="1">
      <alignment horizontal="center" vertical="center"/>
    </xf>
    <xf numFmtId="0" fontId="1" fillId="2" borderId="6" xfId="18" applyNumberFormat="1" applyFont="1" applyFill="1" applyBorder="1" applyAlignment="1">
      <alignment horizontal="center" vertical="center" wrapText="1"/>
    </xf>
    <xf numFmtId="0" fontId="1" fillId="2" borderId="13" xfId="18" applyNumberFormat="1" applyFont="1" applyFill="1" applyBorder="1" applyAlignment="1">
      <alignment horizontal="center" vertical="center" wrapText="1"/>
    </xf>
    <xf numFmtId="9" fontId="1" fillId="2" borderId="6" xfId="5" applyFont="1" applyFill="1" applyBorder="1" applyAlignment="1">
      <alignment horizontal="center" vertical="center"/>
    </xf>
    <xf numFmtId="9" fontId="1" fillId="2" borderId="13" xfId="5" applyFont="1" applyFill="1" applyBorder="1" applyAlignment="1">
      <alignment horizontal="center" vertical="center"/>
    </xf>
    <xf numFmtId="170" fontId="1" fillId="0" borderId="6" xfId="18" applyNumberFormat="1" applyFont="1" applyBorder="1" applyAlignment="1">
      <alignment horizontal="center" vertical="center"/>
    </xf>
    <xf numFmtId="9" fontId="1" fillId="2" borderId="10" xfId="5" applyFont="1" applyFill="1" applyBorder="1" applyAlignment="1">
      <alignment horizontal="center" vertical="center"/>
    </xf>
    <xf numFmtId="3" fontId="1" fillId="2" borderId="6" xfId="18" applyNumberFormat="1" applyFont="1" applyFill="1" applyBorder="1" applyAlignment="1">
      <alignment horizontal="center" vertical="center"/>
    </xf>
    <xf numFmtId="3" fontId="1" fillId="2" borderId="13" xfId="18" applyNumberFormat="1" applyFont="1" applyFill="1" applyBorder="1" applyAlignment="1">
      <alignment horizontal="center" vertical="center"/>
    </xf>
    <xf numFmtId="3" fontId="1" fillId="2" borderId="10" xfId="18" applyNumberFormat="1" applyFont="1" applyFill="1" applyBorder="1" applyAlignment="1">
      <alignment horizontal="center" vertical="center"/>
    </xf>
    <xf numFmtId="189" fontId="12" fillId="0" borderId="6" xfId="15" applyNumberFormat="1" applyFont="1" applyFill="1" applyBorder="1" applyAlignment="1">
      <alignment horizontal="center" vertical="center"/>
    </xf>
    <xf numFmtId="189" fontId="12" fillId="0" borderId="13" xfId="15" applyNumberFormat="1" applyFont="1" applyFill="1" applyBorder="1" applyAlignment="1">
      <alignment horizontal="center" vertical="center"/>
    </xf>
    <xf numFmtId="189" fontId="12" fillId="0" borderId="10" xfId="15" applyNumberFormat="1" applyFont="1" applyFill="1" applyBorder="1" applyAlignment="1">
      <alignment horizontal="center" vertical="center"/>
    </xf>
    <xf numFmtId="167" fontId="1" fillId="2" borderId="6" xfId="18" applyFont="1" applyFill="1" applyBorder="1" applyAlignment="1">
      <alignment horizontal="justify" vertical="center" wrapText="1"/>
    </xf>
    <xf numFmtId="3" fontId="1" fillId="0" borderId="6" xfId="18" applyNumberFormat="1" applyFont="1" applyFill="1" applyBorder="1" applyAlignment="1">
      <alignment horizontal="center" vertical="center"/>
    </xf>
    <xf numFmtId="3" fontId="1" fillId="0" borderId="10" xfId="18" applyNumberFormat="1" applyFont="1" applyFill="1" applyBorder="1" applyAlignment="1">
      <alignment horizontal="center" vertical="center"/>
    </xf>
    <xf numFmtId="1" fontId="1" fillId="0" borderId="6" xfId="18" applyNumberFormat="1" applyFont="1" applyBorder="1" applyAlignment="1">
      <alignment horizontal="center" vertical="center"/>
    </xf>
    <xf numFmtId="0" fontId="1" fillId="0" borderId="6" xfId="18" applyNumberFormat="1" applyFont="1" applyFill="1" applyBorder="1" applyAlignment="1">
      <alignment horizontal="center" vertical="center" wrapText="1"/>
    </xf>
    <xf numFmtId="167" fontId="1" fillId="2" borderId="6" xfId="18" applyFont="1" applyFill="1" applyBorder="1" applyAlignment="1">
      <alignment horizontal="center" vertical="center"/>
    </xf>
    <xf numFmtId="1" fontId="12" fillId="0" borderId="6" xfId="18" applyNumberFormat="1" applyFont="1" applyBorder="1" applyAlignment="1">
      <alignment horizontal="center" vertical="center"/>
    </xf>
    <xf numFmtId="1" fontId="1" fillId="0" borderId="1" xfId="18" applyNumberFormat="1" applyFont="1" applyBorder="1" applyAlignment="1">
      <alignment horizontal="center" vertical="center"/>
    </xf>
    <xf numFmtId="1" fontId="1" fillId="2" borderId="6" xfId="18" applyNumberFormat="1" applyFont="1" applyFill="1" applyBorder="1" applyAlignment="1">
      <alignment horizontal="center" vertical="center" wrapText="1"/>
    </xf>
    <xf numFmtId="9" fontId="1" fillId="0" borderId="6" xfId="5" applyFont="1" applyFill="1" applyBorder="1" applyAlignment="1">
      <alignment horizontal="center" vertical="center"/>
    </xf>
    <xf numFmtId="9" fontId="1" fillId="0" borderId="10" xfId="5" applyFont="1" applyFill="1" applyBorder="1" applyAlignment="1">
      <alignment horizontal="center" vertical="center"/>
    </xf>
    <xf numFmtId="167" fontId="1" fillId="2" borderId="1" xfId="18" applyFont="1" applyFill="1" applyBorder="1" applyAlignment="1">
      <alignment horizontal="left" vertical="center" wrapText="1"/>
    </xf>
    <xf numFmtId="169" fontId="1" fillId="0" borderId="6" xfId="18" applyNumberFormat="1" applyFont="1" applyFill="1" applyBorder="1" applyAlignment="1">
      <alignment horizontal="center" vertical="center"/>
    </xf>
    <xf numFmtId="169" fontId="1" fillId="0" borderId="10" xfId="18" applyNumberFormat="1" applyFont="1" applyFill="1" applyBorder="1" applyAlignment="1">
      <alignment horizontal="center" vertical="center"/>
    </xf>
    <xf numFmtId="169" fontId="12" fillId="0" borderId="6" xfId="18" applyNumberFormat="1" applyFont="1" applyFill="1" applyBorder="1" applyAlignment="1">
      <alignment horizontal="center" vertical="center"/>
    </xf>
    <xf numFmtId="169" fontId="12" fillId="0" borderId="10" xfId="18" applyNumberFormat="1" applyFont="1" applyFill="1" applyBorder="1" applyAlignment="1">
      <alignment horizontal="center" vertical="center"/>
    </xf>
    <xf numFmtId="169" fontId="1" fillId="0" borderId="6" xfId="18" applyNumberFormat="1" applyFont="1" applyBorder="1" applyAlignment="1">
      <alignment horizontal="center" vertical="center"/>
    </xf>
    <xf numFmtId="169" fontId="1" fillId="0" borderId="10" xfId="18" applyNumberFormat="1" applyFont="1" applyBorder="1" applyAlignment="1">
      <alignment horizontal="center" vertical="center"/>
    </xf>
    <xf numFmtId="169" fontId="12" fillId="0" borderId="6" xfId="18" applyNumberFormat="1" applyFont="1" applyBorder="1" applyAlignment="1">
      <alignment horizontal="center" vertical="center"/>
    </xf>
    <xf numFmtId="169" fontId="12" fillId="0" borderId="10" xfId="18" applyNumberFormat="1" applyFont="1" applyBorder="1" applyAlignment="1">
      <alignment horizontal="center" vertical="center"/>
    </xf>
    <xf numFmtId="170" fontId="1" fillId="2" borderId="6" xfId="18" applyNumberFormat="1" applyFont="1" applyFill="1" applyBorder="1" applyAlignment="1">
      <alignment horizontal="center" vertical="center" wrapText="1"/>
    </xf>
    <xf numFmtId="167" fontId="1" fillId="2" borderId="1" xfId="18" applyFont="1" applyFill="1" applyBorder="1" applyAlignment="1">
      <alignment horizontal="justify" vertical="center" wrapText="1"/>
    </xf>
    <xf numFmtId="170" fontId="1" fillId="2" borderId="1" xfId="18" applyNumberFormat="1" applyFont="1" applyFill="1" applyBorder="1" applyAlignment="1">
      <alignment vertical="center"/>
    </xf>
    <xf numFmtId="170" fontId="12" fillId="2" borderId="1" xfId="18" applyNumberFormat="1" applyFont="1" applyFill="1" applyBorder="1" applyAlignment="1">
      <alignment vertical="center"/>
    </xf>
    <xf numFmtId="9" fontId="1" fillId="2" borderId="1" xfId="5" applyFont="1" applyFill="1" applyBorder="1" applyAlignment="1">
      <alignment horizontal="center" vertical="center"/>
    </xf>
    <xf numFmtId="170" fontId="1" fillId="2" borderId="13" xfId="18" applyNumberFormat="1" applyFont="1" applyFill="1" applyBorder="1" applyAlignment="1">
      <alignment horizontal="center" vertical="center" wrapText="1"/>
    </xf>
    <xf numFmtId="9" fontId="1" fillId="2" borderId="13" xfId="5" applyFont="1" applyFill="1" applyBorder="1" applyAlignment="1">
      <alignment horizontal="center" vertical="center" wrapText="1"/>
    </xf>
    <xf numFmtId="3" fontId="1" fillId="0" borderId="1" xfId="18" applyNumberFormat="1" applyFont="1" applyBorder="1" applyAlignment="1">
      <alignment horizontal="center" vertical="center"/>
    </xf>
    <xf numFmtId="9" fontId="1" fillId="2" borderId="1" xfId="5" applyFont="1" applyFill="1" applyBorder="1" applyAlignment="1">
      <alignment horizontal="center" vertical="center" wrapText="1"/>
    </xf>
    <xf numFmtId="170" fontId="3" fillId="3" borderId="1" xfId="18" applyNumberFormat="1" applyFont="1" applyFill="1" applyBorder="1" applyAlignment="1">
      <alignment horizontal="center" vertical="center" wrapText="1"/>
    </xf>
    <xf numFmtId="167" fontId="1" fillId="0" borderId="1" xfId="18" applyFont="1" applyFill="1" applyBorder="1" applyAlignment="1">
      <alignment horizontal="center" vertical="center" wrapText="1"/>
    </xf>
    <xf numFmtId="167" fontId="3" fillId="3" borderId="1" xfId="18" applyFont="1" applyFill="1" applyBorder="1" applyAlignment="1">
      <alignment horizontal="center" vertical="center" wrapText="1"/>
    </xf>
    <xf numFmtId="0" fontId="3" fillId="10" borderId="1" xfId="0" applyFont="1" applyFill="1" applyBorder="1" applyAlignment="1">
      <alignment horizontal="center" vertical="center" wrapText="1"/>
    </xf>
    <xf numFmtId="17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67" fontId="3" fillId="3" borderId="1" xfId="9" applyFont="1" applyFill="1" applyBorder="1" applyAlignment="1">
      <alignment horizontal="center" vertical="center"/>
    </xf>
    <xf numFmtId="184" fontId="1" fillId="0" borderId="3" xfId="0" applyNumberFormat="1" applyFont="1" applyFill="1" applyBorder="1" applyAlignment="1">
      <alignment horizontal="center" vertical="center" wrapText="1"/>
    </xf>
    <xf numFmtId="184" fontId="1" fillId="0" borderId="5"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textRotation="90" wrapText="1"/>
    </xf>
    <xf numFmtId="184" fontId="1" fillId="0" borderId="1" xfId="0" applyNumberFormat="1" applyFont="1" applyFill="1" applyBorder="1" applyAlignment="1">
      <alignment horizontal="center" vertical="center" wrapText="1"/>
    </xf>
    <xf numFmtId="184" fontId="12" fillId="0" borderId="1" xfId="0" applyNumberFormat="1"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70" fontId="1" fillId="2"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textRotation="90" wrapText="1"/>
    </xf>
    <xf numFmtId="169" fontId="1" fillId="0" borderId="1" xfId="0"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170" fontId="7" fillId="2"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184" fontId="12" fillId="0" borderId="6" xfId="0" applyNumberFormat="1" applyFont="1" applyFill="1" applyBorder="1" applyAlignment="1">
      <alignment horizontal="center" vertical="center" wrapText="1"/>
    </xf>
    <xf numFmtId="9" fontId="1" fillId="0" borderId="1" xfId="5" applyFont="1" applyBorder="1" applyAlignment="1" applyProtection="1">
      <alignment horizontal="center" vertical="center"/>
      <protection locked="0"/>
    </xf>
    <xf numFmtId="0" fontId="1" fillId="2" borderId="13" xfId="9" applyNumberFormat="1" applyFont="1" applyFill="1" applyBorder="1" applyAlignment="1" applyProtection="1">
      <alignment horizontal="center" vertical="center" wrapText="1"/>
      <protection locked="0"/>
    </xf>
    <xf numFmtId="167" fontId="1" fillId="2" borderId="13" xfId="9" applyFont="1" applyFill="1" applyBorder="1" applyAlignment="1" applyProtection="1">
      <alignment horizontal="center" vertical="center" wrapText="1"/>
      <protection locked="0"/>
    </xf>
    <xf numFmtId="170" fontId="1" fillId="0" borderId="10" xfId="9" applyNumberFormat="1" applyFont="1" applyFill="1" applyBorder="1" applyAlignment="1" applyProtection="1">
      <alignment horizontal="center" vertical="center"/>
      <protection locked="0"/>
    </xf>
    <xf numFmtId="170" fontId="12" fillId="0" borderId="10" xfId="9" applyNumberFormat="1" applyFont="1" applyFill="1" applyBorder="1" applyAlignment="1" applyProtection="1">
      <alignment horizontal="center" vertical="center"/>
      <protection locked="0"/>
    </xf>
    <xf numFmtId="185" fontId="12" fillId="2" borderId="6" xfId="9" applyNumberFormat="1" applyFont="1" applyFill="1" applyBorder="1" applyAlignment="1" applyProtection="1">
      <alignment horizontal="center" vertical="center" textRotation="180"/>
      <protection locked="0"/>
    </xf>
    <xf numFmtId="185" fontId="12" fillId="2" borderId="13" xfId="9" applyNumberFormat="1" applyFont="1" applyFill="1" applyBorder="1" applyAlignment="1" applyProtection="1">
      <alignment horizontal="center" vertical="center" textRotation="180"/>
      <protection locked="0"/>
    </xf>
    <xf numFmtId="185" fontId="12" fillId="2" borderId="10" xfId="9" applyNumberFormat="1" applyFont="1" applyFill="1" applyBorder="1" applyAlignment="1" applyProtection="1">
      <alignment horizontal="center" vertical="center" textRotation="180"/>
      <protection locked="0"/>
    </xf>
    <xf numFmtId="14" fontId="12" fillId="0" borderId="10" xfId="9" applyNumberFormat="1" applyFont="1" applyFill="1" applyBorder="1" applyAlignment="1" applyProtection="1">
      <alignment horizontal="center" vertical="center"/>
      <protection locked="0"/>
    </xf>
    <xf numFmtId="49" fontId="1" fillId="0" borderId="1" xfId="9" applyNumberFormat="1" applyFont="1" applyBorder="1" applyAlignment="1" applyProtection="1">
      <alignment horizontal="center" vertical="center"/>
      <protection locked="0"/>
    </xf>
    <xf numFmtId="49" fontId="1" fillId="0" borderId="10" xfId="9" applyNumberFormat="1" applyFont="1" applyBorder="1" applyAlignment="1" applyProtection="1">
      <alignment horizontal="center" vertical="center" wrapText="1"/>
      <protection locked="0"/>
    </xf>
    <xf numFmtId="14" fontId="1" fillId="0" borderId="1" xfId="9" applyNumberFormat="1" applyFont="1" applyFill="1" applyBorder="1" applyAlignment="1" applyProtection="1">
      <alignment horizontal="center" vertical="center"/>
      <protection locked="0"/>
    </xf>
    <xf numFmtId="14" fontId="1" fillId="0" borderId="10" xfId="9" applyNumberFormat="1" applyFont="1" applyFill="1" applyBorder="1" applyAlignment="1" applyProtection="1">
      <alignment horizontal="center" vertical="center"/>
      <protection locked="0"/>
    </xf>
    <xf numFmtId="172" fontId="1" fillId="0" borderId="13" xfId="8" applyNumberFormat="1" applyFont="1" applyBorder="1" applyAlignment="1" applyProtection="1">
      <alignment horizontal="center" vertical="center"/>
      <protection locked="0"/>
    </xf>
    <xf numFmtId="14" fontId="12" fillId="0" borderId="1" xfId="9" applyNumberFormat="1" applyFont="1" applyFill="1" applyBorder="1" applyAlignment="1" applyProtection="1">
      <alignment horizontal="center" vertical="center"/>
      <protection locked="0"/>
    </xf>
    <xf numFmtId="49" fontId="12" fillId="0" borderId="1" xfId="9" applyNumberFormat="1" applyFont="1" applyBorder="1" applyAlignment="1" applyProtection="1">
      <alignment horizontal="center" vertical="center"/>
      <protection locked="0"/>
    </xf>
    <xf numFmtId="49" fontId="1" fillId="0" borderId="1" xfId="9" applyNumberFormat="1" applyFont="1" applyBorder="1" applyAlignment="1" applyProtection="1">
      <alignment horizontal="center" vertical="center" wrapText="1"/>
      <protection locked="0"/>
    </xf>
    <xf numFmtId="185" fontId="1" fillId="2" borderId="6" xfId="9" applyNumberFormat="1" applyFont="1" applyFill="1" applyBorder="1" applyAlignment="1" applyProtection="1">
      <alignment horizontal="center" vertical="center"/>
      <protection locked="0"/>
    </xf>
    <xf numFmtId="185" fontId="1" fillId="2" borderId="1" xfId="9" applyNumberFormat="1" applyFont="1" applyFill="1" applyBorder="1" applyAlignment="1" applyProtection="1">
      <alignment horizontal="center" vertical="center"/>
      <protection locked="0"/>
    </xf>
    <xf numFmtId="185" fontId="1" fillId="0" borderId="10" xfId="9" applyNumberFormat="1" applyFont="1" applyFill="1" applyBorder="1" applyAlignment="1" applyProtection="1">
      <alignment horizontal="center" vertical="center"/>
      <protection locked="0"/>
    </xf>
    <xf numFmtId="185" fontId="1" fillId="0" borderId="10" xfId="9" applyNumberFormat="1" applyFont="1" applyFill="1" applyBorder="1" applyAlignment="1" applyProtection="1">
      <alignment horizontal="center" vertical="center" textRotation="180"/>
      <protection locked="0"/>
    </xf>
    <xf numFmtId="185" fontId="12" fillId="0" borderId="10" xfId="9" applyNumberFormat="1" applyFont="1" applyFill="1" applyBorder="1" applyAlignment="1" applyProtection="1">
      <alignment horizontal="center" vertical="center" textRotation="180"/>
      <protection locked="0"/>
    </xf>
    <xf numFmtId="172" fontId="1" fillId="0" borderId="10" xfId="8" applyNumberFormat="1" applyFont="1" applyFill="1" applyBorder="1" applyAlignment="1" applyProtection="1">
      <alignment horizontal="center" vertical="center" wrapText="1"/>
      <protection locked="0"/>
    </xf>
    <xf numFmtId="1" fontId="1" fillId="0" borderId="10" xfId="9" applyNumberFormat="1" applyFont="1" applyFill="1" applyBorder="1" applyAlignment="1" applyProtection="1">
      <alignment horizontal="center" vertical="center" wrapText="1"/>
      <protection locked="0"/>
    </xf>
    <xf numFmtId="167" fontId="1" fillId="0" borderId="6" xfId="9" applyFont="1" applyFill="1" applyBorder="1" applyAlignment="1" applyProtection="1">
      <alignment horizontal="justify" vertical="center" wrapText="1"/>
      <protection locked="0"/>
    </xf>
    <xf numFmtId="167" fontId="1" fillId="0" borderId="10" xfId="9" applyFont="1" applyFill="1" applyBorder="1" applyAlignment="1" applyProtection="1">
      <alignment horizontal="justify" vertical="center" wrapText="1"/>
      <protection locked="0"/>
    </xf>
    <xf numFmtId="167" fontId="1" fillId="0" borderId="10" xfId="9" applyFont="1" applyFill="1" applyBorder="1" applyAlignment="1" applyProtection="1">
      <alignment horizontal="center" vertical="center" wrapText="1"/>
      <protection locked="0"/>
    </xf>
    <xf numFmtId="49" fontId="1" fillId="0" borderId="10" xfId="9" applyNumberFormat="1" applyFont="1" applyBorder="1" applyAlignment="1" applyProtection="1">
      <alignment horizontal="center" vertical="center"/>
      <protection locked="0"/>
    </xf>
    <xf numFmtId="172" fontId="1" fillId="0" borderId="10" xfId="8" applyNumberFormat="1" applyFont="1" applyBorder="1" applyAlignment="1" applyProtection="1">
      <alignment horizontal="center" vertical="center"/>
      <protection locked="0"/>
    </xf>
    <xf numFmtId="0" fontId="1" fillId="0" borderId="10" xfId="9" applyNumberFormat="1" applyFont="1" applyFill="1" applyBorder="1" applyAlignment="1" applyProtection="1">
      <alignment horizontal="center" vertical="center" wrapText="1"/>
      <protection locked="0"/>
    </xf>
    <xf numFmtId="185" fontId="1" fillId="0" borderId="6" xfId="9" applyNumberFormat="1" applyFont="1" applyBorder="1" applyAlignment="1" applyProtection="1">
      <alignment horizontal="center" vertical="center"/>
      <protection locked="0"/>
    </xf>
    <xf numFmtId="185" fontId="1" fillId="0" borderId="13" xfId="9" applyNumberFormat="1" applyFont="1" applyBorder="1" applyAlignment="1" applyProtection="1">
      <alignment horizontal="center" vertical="center"/>
      <protection locked="0"/>
    </xf>
    <xf numFmtId="185" fontId="1" fillId="0" borderId="10" xfId="9" applyNumberFormat="1" applyFont="1" applyBorder="1" applyAlignment="1" applyProtection="1">
      <alignment horizontal="center" vertical="center"/>
      <protection locked="0"/>
    </xf>
    <xf numFmtId="185" fontId="1" fillId="0" borderId="6" xfId="9" applyNumberFormat="1" applyFont="1" applyBorder="1" applyAlignment="1" applyProtection="1">
      <alignment horizontal="center" vertical="center" wrapText="1"/>
      <protection locked="0"/>
    </xf>
    <xf numFmtId="167" fontId="1" fillId="2" borderId="10" xfId="9" applyFont="1" applyFill="1" applyBorder="1" applyAlignment="1" applyProtection="1">
      <alignment horizontal="center" vertical="center" wrapText="1"/>
      <protection locked="0"/>
    </xf>
    <xf numFmtId="14" fontId="12" fillId="2" borderId="6" xfId="9" applyNumberFormat="1" applyFont="1" applyFill="1" applyBorder="1" applyAlignment="1" applyProtection="1">
      <alignment horizontal="center" vertical="center"/>
      <protection locked="0"/>
    </xf>
    <xf numFmtId="14" fontId="1" fillId="2" borderId="6" xfId="9" applyNumberFormat="1" applyFont="1" applyFill="1" applyBorder="1" applyAlignment="1" applyProtection="1">
      <alignment horizontal="center" vertical="center"/>
      <protection locked="0"/>
    </xf>
    <xf numFmtId="14" fontId="12" fillId="2" borderId="1" xfId="9" applyNumberFormat="1" applyFont="1" applyFill="1" applyBorder="1" applyAlignment="1" applyProtection="1">
      <alignment horizontal="center" vertical="center"/>
      <protection locked="0"/>
    </xf>
    <xf numFmtId="172" fontId="1" fillId="2" borderId="1" xfId="8" applyNumberFormat="1" applyFont="1" applyFill="1" applyBorder="1" applyAlignment="1" applyProtection="1">
      <alignment horizontal="center" vertical="center"/>
      <protection locked="0"/>
    </xf>
    <xf numFmtId="185" fontId="1" fillId="2" borderId="1" xfId="9" applyNumberFormat="1" applyFont="1" applyFill="1" applyBorder="1" applyAlignment="1" applyProtection="1">
      <alignment horizontal="center" vertical="center" wrapText="1"/>
      <protection locked="0"/>
    </xf>
    <xf numFmtId="9" fontId="1" fillId="2" borderId="10" xfId="5" applyFont="1" applyFill="1" applyBorder="1" applyAlignment="1" applyProtection="1">
      <alignment horizontal="center" vertical="center"/>
      <protection locked="0"/>
    </xf>
    <xf numFmtId="185" fontId="1" fillId="2" borderId="6" xfId="9" applyNumberFormat="1" applyFont="1" applyFill="1" applyBorder="1" applyAlignment="1" applyProtection="1">
      <alignment horizontal="center" vertical="center" wrapText="1"/>
      <protection locked="0"/>
    </xf>
    <xf numFmtId="1" fontId="12" fillId="0" borderId="10" xfId="9" applyNumberFormat="1" applyFont="1" applyFill="1" applyBorder="1" applyAlignment="1" applyProtection="1">
      <alignment horizontal="center" vertical="center" wrapText="1"/>
      <protection locked="0"/>
    </xf>
    <xf numFmtId="167" fontId="1" fillId="0" borderId="1" xfId="9" applyFont="1" applyFill="1" applyBorder="1" applyAlignment="1" applyProtection="1">
      <alignment horizontal="justify" vertical="center" wrapText="1"/>
      <protection locked="0"/>
    </xf>
    <xf numFmtId="170" fontId="1" fillId="0" borderId="1" xfId="9" applyNumberFormat="1" applyFont="1" applyFill="1" applyBorder="1" applyAlignment="1" applyProtection="1">
      <alignment horizontal="center" vertical="center" wrapText="1"/>
      <protection locked="0"/>
    </xf>
    <xf numFmtId="185" fontId="12" fillId="2" borderId="1" xfId="9" applyNumberFormat="1" applyFont="1" applyFill="1" applyBorder="1" applyAlignment="1" applyProtection="1">
      <alignment horizontal="center" vertical="center"/>
      <protection locked="0"/>
    </xf>
    <xf numFmtId="185" fontId="3" fillId="15" borderId="0" xfId="9" applyNumberFormat="1" applyFont="1" applyFill="1" applyBorder="1" applyAlignment="1" applyProtection="1">
      <alignment horizontal="center" vertical="center" wrapText="1"/>
      <protection locked="0"/>
    </xf>
    <xf numFmtId="170" fontId="1" fillId="0" borderId="10" xfId="9" applyNumberFormat="1" applyFont="1" applyFill="1" applyBorder="1" applyAlignment="1" applyProtection="1">
      <alignment horizontal="center" vertical="center" wrapText="1"/>
      <protection locked="0"/>
    </xf>
    <xf numFmtId="170" fontId="12" fillId="0" borderId="10" xfId="9" applyNumberFormat="1" applyFont="1" applyFill="1" applyBorder="1" applyAlignment="1" applyProtection="1">
      <alignment horizontal="center" vertical="center" wrapText="1"/>
      <protection locked="0"/>
    </xf>
    <xf numFmtId="14" fontId="12" fillId="0" borderId="6" xfId="9" applyNumberFormat="1" applyFont="1" applyBorder="1" applyAlignment="1" applyProtection="1">
      <alignment horizontal="center" vertical="center"/>
      <protection locked="0"/>
    </xf>
    <xf numFmtId="14" fontId="12" fillId="0" borderId="13" xfId="9" applyNumberFormat="1" applyFont="1" applyBorder="1" applyAlignment="1" applyProtection="1">
      <alignment horizontal="center" vertical="center"/>
      <protection locked="0"/>
    </xf>
    <xf numFmtId="14" fontId="12" fillId="0" borderId="10" xfId="9" applyNumberFormat="1" applyFont="1" applyBorder="1" applyAlignment="1" applyProtection="1">
      <alignment horizontal="center" vertical="center"/>
      <protection locked="0"/>
    </xf>
    <xf numFmtId="14" fontId="1" fillId="0" borderId="6" xfId="9" applyNumberFormat="1" applyFont="1" applyBorder="1" applyAlignment="1" applyProtection="1">
      <alignment horizontal="center" vertical="center"/>
      <protection locked="0"/>
    </xf>
    <xf numFmtId="14" fontId="1" fillId="0" borderId="13" xfId="9" applyNumberFormat="1" applyFont="1" applyBorder="1" applyAlignment="1" applyProtection="1">
      <alignment horizontal="center" vertical="center"/>
      <protection locked="0"/>
    </xf>
    <xf numFmtId="14" fontId="1" fillId="0" borderId="10" xfId="9" applyNumberFormat="1" applyFont="1" applyBorder="1" applyAlignment="1" applyProtection="1">
      <alignment horizontal="center" vertical="center"/>
      <protection locked="0"/>
    </xf>
    <xf numFmtId="185" fontId="3" fillId="7" borderId="12" xfId="9" applyNumberFormat="1" applyFont="1" applyFill="1" applyBorder="1" applyAlignment="1" applyProtection="1">
      <alignment horizontal="center" vertical="center" wrapText="1"/>
      <protection locked="0"/>
    </xf>
    <xf numFmtId="185" fontId="1" fillId="0" borderId="6" xfId="9" applyNumberFormat="1" applyFont="1" applyBorder="1" applyAlignment="1" applyProtection="1">
      <alignment horizontal="right" vertical="center"/>
      <protection locked="0"/>
    </xf>
    <xf numFmtId="185" fontId="1" fillId="0" borderId="13" xfId="9" applyNumberFormat="1" applyFont="1" applyBorder="1" applyAlignment="1" applyProtection="1">
      <alignment horizontal="right" vertical="center"/>
      <protection locked="0"/>
    </xf>
    <xf numFmtId="9" fontId="1" fillId="0" borderId="10" xfId="5" applyFont="1" applyBorder="1" applyAlignment="1" applyProtection="1">
      <alignment horizontal="center" vertical="center"/>
      <protection locked="0"/>
    </xf>
    <xf numFmtId="1" fontId="1" fillId="2" borderId="10" xfId="9" applyNumberFormat="1" applyFont="1" applyFill="1" applyBorder="1" applyAlignment="1" applyProtection="1">
      <alignment horizontal="center" vertical="center"/>
      <protection locked="0"/>
    </xf>
    <xf numFmtId="1" fontId="12" fillId="2" borderId="1" xfId="9" applyNumberFormat="1" applyFont="1" applyFill="1" applyBorder="1" applyAlignment="1" applyProtection="1">
      <alignment horizontal="center" vertical="center"/>
      <protection locked="0"/>
    </xf>
    <xf numFmtId="167" fontId="1" fillId="0" borderId="1" xfId="9" applyFont="1" applyFill="1" applyBorder="1" applyAlignment="1" applyProtection="1">
      <alignment horizontal="center" vertical="center" wrapText="1"/>
      <protection locked="0"/>
    </xf>
    <xf numFmtId="169" fontId="3" fillId="3" borderId="1" xfId="9" applyNumberFormat="1" applyFont="1" applyFill="1" applyBorder="1" applyAlignment="1" applyProtection="1">
      <alignment horizontal="center" vertical="center" wrapText="1"/>
      <protection locked="0"/>
    </xf>
    <xf numFmtId="167" fontId="3" fillId="3" borderId="1" xfId="9" applyFont="1" applyFill="1" applyBorder="1" applyAlignment="1" applyProtection="1">
      <alignment horizontal="center" vertical="center" wrapText="1"/>
      <protection locked="0"/>
    </xf>
    <xf numFmtId="172" fontId="1" fillId="2" borderId="6" xfId="8" applyNumberFormat="1" applyFont="1" applyFill="1" applyBorder="1" applyAlignment="1" applyProtection="1">
      <alignment horizontal="center" vertical="center"/>
      <protection locked="0"/>
    </xf>
    <xf numFmtId="172" fontId="1" fillId="2" borderId="13" xfId="8" applyNumberFormat="1" applyFont="1" applyFill="1" applyBorder="1" applyAlignment="1" applyProtection="1">
      <alignment horizontal="center" vertical="center"/>
      <protection locked="0"/>
    </xf>
    <xf numFmtId="172" fontId="1" fillId="0" borderId="1" xfId="8" applyNumberFormat="1" applyFont="1" applyFill="1" applyBorder="1" applyAlignment="1" applyProtection="1">
      <alignment horizontal="center" vertical="center"/>
      <protection locked="0"/>
    </xf>
    <xf numFmtId="0" fontId="13" fillId="3" borderId="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0" borderId="5" xfId="0" applyFont="1" applyFill="1" applyBorder="1" applyAlignment="1">
      <alignment horizontal="justify" vertical="center" wrapText="1"/>
    </xf>
    <xf numFmtId="1" fontId="1" fillId="2" borderId="13" xfId="0" applyNumberFormat="1" applyFont="1" applyFill="1" applyBorder="1" applyAlignment="1">
      <alignment horizontal="center" vertical="center" wrapText="1"/>
    </xf>
    <xf numFmtId="164" fontId="0" fillId="0" borderId="10" xfId="17" applyFont="1" applyFill="1" applyBorder="1" applyAlignment="1">
      <alignment horizontal="center" vertical="center"/>
    </xf>
    <xf numFmtId="164" fontId="0" fillId="0" borderId="10" xfId="17" applyFont="1" applyFill="1" applyBorder="1" applyAlignment="1">
      <alignment vertical="center"/>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42" fontId="1" fillId="2" borderId="1" xfId="16" applyFont="1" applyFill="1" applyBorder="1" applyAlignment="1">
      <alignment horizontal="center" vertical="center"/>
    </xf>
    <xf numFmtId="1" fontId="12" fillId="0" borderId="1" xfId="0" applyNumberFormat="1" applyFont="1" applyBorder="1" applyAlignment="1">
      <alignment horizontal="center" vertical="center" textRotation="180"/>
    </xf>
    <xf numFmtId="0" fontId="1" fillId="0" borderId="1" xfId="0" applyFont="1" applyBorder="1" applyAlignment="1">
      <alignment horizontal="center" vertical="center" wrapText="1"/>
    </xf>
    <xf numFmtId="164" fontId="0" fillId="0" borderId="1" xfId="17" applyFont="1" applyBorder="1" applyAlignment="1">
      <alignment horizontal="center" vertical="center"/>
    </xf>
    <xf numFmtId="164" fontId="0" fillId="0" borderId="1" xfId="17" applyFont="1" applyBorder="1" applyAlignment="1">
      <alignment vertical="center"/>
    </xf>
    <xf numFmtId="0" fontId="0" fillId="0" borderId="1" xfId="0" applyFont="1" applyBorder="1" applyAlignment="1">
      <alignment horizontal="center" vertical="center"/>
    </xf>
    <xf numFmtId="0" fontId="1" fillId="2" borderId="13" xfId="0" applyFont="1" applyFill="1" applyBorder="1" applyAlignment="1">
      <alignment horizontal="center" vertical="center"/>
    </xf>
    <xf numFmtId="1" fontId="1" fillId="2" borderId="13" xfId="0" applyNumberFormat="1" applyFont="1" applyFill="1" applyBorder="1" applyAlignment="1">
      <alignment horizontal="center" vertical="center"/>
    </xf>
    <xf numFmtId="0" fontId="1" fillId="2" borderId="6" xfId="0" applyFont="1" applyFill="1" applyBorder="1" applyAlignment="1">
      <alignment horizontal="center" vertical="center"/>
    </xf>
    <xf numFmtId="42" fontId="1" fillId="2" borderId="13" xfId="16" applyFont="1" applyFill="1" applyBorder="1" applyAlignment="1">
      <alignment horizontal="center" vertical="center"/>
    </xf>
    <xf numFmtId="1" fontId="1" fillId="0" borderId="6"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1" fillId="0" borderId="6" xfId="0" applyFont="1" applyFill="1" applyBorder="1" applyAlignment="1">
      <alignment horizontal="center" vertical="center"/>
    </xf>
    <xf numFmtId="1" fontId="12" fillId="0"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0" fontId="12" fillId="2" borderId="13" xfId="0" applyFont="1" applyFill="1" applyBorder="1" applyAlignment="1">
      <alignment horizontal="center"/>
    </xf>
    <xf numFmtId="1" fontId="1" fillId="0" borderId="5"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42" fontId="12" fillId="0" borderId="6" xfId="16" applyFont="1" applyFill="1" applyBorder="1" applyAlignment="1">
      <alignment horizontal="center" vertical="center"/>
    </xf>
    <xf numFmtId="0" fontId="1" fillId="2" borderId="13" xfId="0" applyFont="1" applyFill="1" applyBorder="1" applyAlignment="1">
      <alignment horizontal="center"/>
    </xf>
    <xf numFmtId="3" fontId="1" fillId="0" borderId="6" xfId="16" applyNumberFormat="1" applyFont="1" applyFill="1" applyBorder="1" applyAlignment="1">
      <alignment horizontal="center" vertical="center"/>
    </xf>
    <xf numFmtId="0" fontId="12" fillId="0" borderId="1" xfId="0" applyFont="1" applyFill="1" applyBorder="1" applyAlignment="1">
      <alignment horizontal="center"/>
    </xf>
    <xf numFmtId="164" fontId="1" fillId="0" borderId="1" xfId="17"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2" borderId="0" xfId="0" applyFont="1" applyFill="1" applyAlignment="1">
      <alignment horizontal="left"/>
    </xf>
    <xf numFmtId="1" fontId="7" fillId="0" borderId="8" xfId="9" applyNumberFormat="1" applyFont="1" applyFill="1" applyBorder="1" applyAlignment="1">
      <alignment horizontal="center" vertical="center" wrapText="1"/>
    </xf>
    <xf numFmtId="1" fontId="7" fillId="0" borderId="1" xfId="9" applyNumberFormat="1" applyFont="1" applyFill="1" applyBorder="1" applyAlignment="1">
      <alignment horizontal="center" vertical="center" wrapText="1"/>
    </xf>
    <xf numFmtId="167" fontId="7" fillId="0" borderId="1" xfId="9" applyFont="1" applyFill="1" applyBorder="1" applyAlignment="1">
      <alignment horizontal="justify" vertical="center" wrapText="1"/>
    </xf>
    <xf numFmtId="167" fontId="7" fillId="0" borderId="6" xfId="9" applyFont="1" applyFill="1" applyBorder="1" applyAlignment="1">
      <alignment horizontal="justify" vertical="center" wrapText="1"/>
    </xf>
    <xf numFmtId="0" fontId="7" fillId="0" borderId="1" xfId="9" applyNumberFormat="1" applyFont="1" applyFill="1" applyBorder="1" applyAlignment="1">
      <alignment horizontal="center" vertical="center" wrapText="1"/>
    </xf>
    <xf numFmtId="167" fontId="7" fillId="0" borderId="1" xfId="9" applyFont="1" applyFill="1" applyBorder="1" applyAlignment="1">
      <alignment horizontal="center" vertical="center" wrapText="1"/>
    </xf>
    <xf numFmtId="170" fontId="7" fillId="0" borderId="6" xfId="9" applyNumberFormat="1" applyFont="1" applyFill="1" applyBorder="1" applyAlignment="1">
      <alignment horizontal="center" vertical="center" wrapText="1"/>
    </xf>
    <xf numFmtId="3" fontId="7" fillId="0" borderId="33" xfId="9" applyNumberFormat="1" applyFont="1" applyFill="1" applyBorder="1" applyAlignment="1">
      <alignment horizontal="center" vertical="center" wrapText="1"/>
    </xf>
    <xf numFmtId="0" fontId="3" fillId="11" borderId="11"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3" fillId="3" borderId="13" xfId="0" applyFont="1" applyFill="1" applyBorder="1" applyAlignment="1">
      <alignment horizontal="justify" vertical="center" wrapText="1"/>
    </xf>
    <xf numFmtId="164" fontId="7" fillId="0" borderId="6" xfId="17" applyFont="1" applyFill="1" applyBorder="1" applyAlignment="1">
      <alignment horizontal="center" vertical="center" wrapText="1"/>
    </xf>
    <xf numFmtId="164" fontId="12" fillId="0" borderId="1" xfId="17"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9" fontId="1" fillId="0" borderId="6" xfId="0" applyNumberFormat="1" applyFont="1" applyFill="1" applyBorder="1" applyAlignment="1">
      <alignment horizontal="center" vertical="center" wrapText="1"/>
    </xf>
    <xf numFmtId="170" fontId="1" fillId="0" borderId="6" xfId="0" applyNumberFormat="1" applyFont="1" applyFill="1" applyBorder="1" applyAlignment="1">
      <alignment vertical="center" wrapText="1"/>
    </xf>
    <xf numFmtId="0" fontId="3" fillId="0" borderId="8"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65" fontId="1" fillId="0" borderId="6" xfId="15" applyFont="1" applyFill="1" applyBorder="1" applyAlignment="1">
      <alignment horizontal="center" vertical="center" wrapText="1"/>
    </xf>
    <xf numFmtId="165" fontId="1" fillId="0" borderId="10" xfId="15"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64" fontId="12" fillId="0" borderId="6" xfId="17" applyFont="1" applyFill="1" applyBorder="1" applyAlignment="1">
      <alignment horizontal="center" vertical="center" wrapText="1"/>
    </xf>
    <xf numFmtId="0" fontId="8" fillId="0" borderId="6" xfId="0" applyFont="1" applyBorder="1" applyAlignment="1">
      <alignment horizontal="justify" vertical="center" wrapText="1" readingOrder="2"/>
    </xf>
    <xf numFmtId="0" fontId="1" fillId="0" borderId="7" xfId="0" applyFont="1" applyFill="1" applyBorder="1" applyAlignment="1">
      <alignment horizontal="center" vertical="center" wrapText="1"/>
    </xf>
    <xf numFmtId="165" fontId="12" fillId="0" borderId="1" xfId="15" applyFont="1" applyFill="1" applyBorder="1" applyAlignment="1">
      <alignment horizontal="center" vertical="center" wrapText="1"/>
    </xf>
    <xf numFmtId="0" fontId="1" fillId="0" borderId="1" xfId="0" applyFont="1" applyBorder="1" applyAlignment="1">
      <alignment horizontal="justify" vertical="center" wrapText="1"/>
    </xf>
    <xf numFmtId="164" fontId="7" fillId="0" borderId="1" xfId="17" applyFont="1" applyFill="1" applyBorder="1" applyAlignment="1">
      <alignment horizontal="center" vertical="center" wrapText="1"/>
    </xf>
    <xf numFmtId="0" fontId="1" fillId="0" borderId="6" xfId="0" applyFont="1" applyBorder="1" applyAlignment="1">
      <alignment horizontal="justify" vertical="center" wrapText="1"/>
    </xf>
    <xf numFmtId="170" fontId="7" fillId="0" borderId="1" xfId="0" applyNumberFormat="1" applyFont="1" applyFill="1" applyBorder="1" applyAlignment="1">
      <alignment horizontal="center" vertical="center"/>
    </xf>
    <xf numFmtId="0" fontId="1" fillId="0" borderId="0" xfId="0" applyFont="1" applyAlignment="1">
      <alignment horizontal="left"/>
    </xf>
    <xf numFmtId="0" fontId="1" fillId="2" borderId="42" xfId="0" applyFont="1" applyFill="1" applyBorder="1" applyAlignment="1">
      <alignment horizontal="center" vertical="center" wrapText="1"/>
    </xf>
    <xf numFmtId="170" fontId="1" fillId="0" borderId="6"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3" xfId="0" applyFont="1" applyFill="1" applyBorder="1" applyAlignment="1">
      <alignment horizontal="center" vertical="center" wrapText="1"/>
    </xf>
    <xf numFmtId="180" fontId="12" fillId="2" borderId="13"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14" fontId="1"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 fillId="2" borderId="10" xfId="0" applyFont="1" applyFill="1" applyBorder="1" applyAlignment="1">
      <alignment horizontal="center"/>
    </xf>
    <xf numFmtId="183" fontId="1" fillId="2" borderId="13" xfId="0" applyNumberFormat="1" applyFont="1" applyFill="1" applyBorder="1" applyAlignment="1">
      <alignment horizontal="center" vertical="center"/>
    </xf>
    <xf numFmtId="183" fontId="1" fillId="2" borderId="10" xfId="0" applyNumberFormat="1" applyFont="1" applyFill="1" applyBorder="1" applyAlignment="1">
      <alignment horizontal="center" vertical="center"/>
    </xf>
    <xf numFmtId="0" fontId="20" fillId="2" borderId="6" xfId="0" applyFont="1" applyFill="1" applyBorder="1" applyAlignment="1">
      <alignment horizontal="justify" vertical="center" wrapText="1"/>
    </xf>
    <xf numFmtId="0" fontId="20" fillId="2" borderId="10" xfId="0" applyFont="1" applyFill="1" applyBorder="1" applyAlignment="1">
      <alignment horizontal="justify" vertical="center" wrapText="1"/>
    </xf>
    <xf numFmtId="14" fontId="1" fillId="2" borderId="6" xfId="0" applyNumberFormat="1" applyFont="1" applyFill="1" applyBorder="1" applyAlignment="1">
      <alignment horizontal="center" vertical="center"/>
    </xf>
    <xf numFmtId="14" fontId="1" fillId="2" borderId="10" xfId="0" applyNumberFormat="1" applyFont="1" applyFill="1" applyBorder="1" applyAlignment="1">
      <alignment horizontal="center" vertical="center"/>
    </xf>
    <xf numFmtId="171" fontId="7" fillId="2" borderId="1" xfId="6" applyFont="1" applyFill="1" applyBorder="1" applyAlignment="1">
      <alignment horizontal="justify" vertical="center" wrapText="1"/>
    </xf>
    <xf numFmtId="0" fontId="8" fillId="2" borderId="1" xfId="0" applyFont="1" applyFill="1" applyBorder="1" applyAlignment="1">
      <alignment horizontal="justify" vertical="center" wrapText="1"/>
    </xf>
    <xf numFmtId="170" fontId="1" fillId="2" borderId="10"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2" borderId="1" xfId="0" applyFont="1" applyFill="1" applyBorder="1" applyAlignment="1">
      <alignment horizontal="center"/>
    </xf>
    <xf numFmtId="0" fontId="20" fillId="2" borderId="1" xfId="0" applyFont="1" applyFill="1" applyBorder="1" applyAlignment="1">
      <alignment horizontal="justify" vertical="center" wrapText="1"/>
    </xf>
    <xf numFmtId="183" fontId="0" fillId="0" borderId="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xf>
    <xf numFmtId="170" fontId="1" fillId="2" borderId="6"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2" fillId="2" borderId="1" xfId="0" applyFont="1" applyFill="1" applyBorder="1" applyAlignment="1">
      <alignment horizontal="center"/>
    </xf>
    <xf numFmtId="0" fontId="3" fillId="10" borderId="6" xfId="0" applyFont="1" applyFill="1" applyBorder="1" applyAlignment="1">
      <alignment horizontal="center" vertical="center" wrapText="1"/>
    </xf>
    <xf numFmtId="167" fontId="8" fillId="5" borderId="1" xfId="0" applyNumberFormat="1"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167" fontId="10" fillId="0" borderId="0" xfId="0" applyNumberFormat="1" applyFont="1" applyFill="1" applyBorder="1" applyAlignment="1">
      <alignment horizontal="center"/>
    </xf>
    <xf numFmtId="167" fontId="10" fillId="0" borderId="40" xfId="0" applyNumberFormat="1" applyFont="1" applyFill="1" applyBorder="1" applyAlignment="1">
      <alignment horizontal="center"/>
    </xf>
    <xf numFmtId="167" fontId="10" fillId="0" borderId="39" xfId="0" applyNumberFormat="1" applyFont="1" applyFill="1" applyBorder="1" applyAlignment="1">
      <alignment horizontal="center"/>
    </xf>
    <xf numFmtId="167" fontId="10" fillId="0" borderId="41" xfId="0" applyNumberFormat="1" applyFont="1" applyFill="1" applyBorder="1" applyAlignment="1">
      <alignment horizontal="center"/>
    </xf>
    <xf numFmtId="169" fontId="12" fillId="2" borderId="4"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4" fontId="1" fillId="2" borderId="6" xfId="14" applyFont="1" applyFill="1" applyBorder="1" applyAlignment="1">
      <alignment horizontal="center" vertical="center" wrapText="1"/>
    </xf>
    <xf numFmtId="44" fontId="1" fillId="2" borderId="13" xfId="14" applyFont="1" applyFill="1" applyBorder="1" applyAlignment="1">
      <alignment horizontal="center" vertical="center" wrapText="1"/>
    </xf>
    <xf numFmtId="44" fontId="1" fillId="0" borderId="6" xfId="14" applyFont="1" applyFill="1" applyBorder="1" applyAlignment="1">
      <alignment horizontal="center" vertical="center" wrapText="1"/>
    </xf>
    <xf numFmtId="0" fontId="1" fillId="0" borderId="0" xfId="0" applyFont="1" applyFill="1" applyBorder="1" applyAlignment="1">
      <alignment horizontal="center"/>
    </xf>
    <xf numFmtId="42" fontId="1" fillId="0" borderId="6" xfId="16" applyFont="1" applyFill="1" applyBorder="1" applyAlignment="1">
      <alignment horizontal="justify" vertical="center" wrapText="1"/>
    </xf>
    <xf numFmtId="42" fontId="1" fillId="0" borderId="10" xfId="16" applyFont="1" applyFill="1" applyBorder="1" applyAlignment="1">
      <alignment horizontal="justify" vertical="center" wrapText="1"/>
    </xf>
    <xf numFmtId="1" fontId="1" fillId="0" borderId="10" xfId="0" applyNumberFormat="1" applyFont="1" applyFill="1" applyBorder="1" applyAlignment="1">
      <alignment horizontal="center" vertical="center" wrapText="1"/>
    </xf>
    <xf numFmtId="169" fontId="12" fillId="2" borderId="8" xfId="0" applyNumberFormat="1" applyFont="1" applyFill="1" applyBorder="1" applyAlignment="1">
      <alignment horizontal="center" vertical="center" wrapText="1"/>
    </xf>
    <xf numFmtId="42" fontId="1" fillId="2" borderId="6" xfId="16" applyFont="1" applyFill="1" applyBorder="1" applyAlignment="1">
      <alignment horizontal="justify" vertical="center" wrapText="1"/>
    </xf>
    <xf numFmtId="42" fontId="1" fillId="2" borderId="10" xfId="16" applyFont="1" applyFill="1" applyBorder="1" applyAlignment="1">
      <alignment horizontal="justify" vertical="center" wrapText="1"/>
    </xf>
    <xf numFmtId="169" fontId="1" fillId="2" borderId="1" xfId="0" applyNumberFormat="1" applyFont="1" applyFill="1" applyBorder="1" applyAlignment="1">
      <alignment horizontal="center" vertical="center" wrapText="1"/>
    </xf>
    <xf numFmtId="169" fontId="12" fillId="2" borderId="1" xfId="0" applyNumberFormat="1" applyFont="1" applyFill="1" applyBorder="1" applyAlignment="1">
      <alignment horizontal="center" vertical="center" wrapText="1"/>
    </xf>
    <xf numFmtId="169" fontId="12" fillId="2" borderId="7" xfId="0" applyNumberFormat="1" applyFont="1" applyFill="1" applyBorder="1" applyAlignment="1">
      <alignment horizontal="center" vertical="center" wrapText="1"/>
    </xf>
    <xf numFmtId="42" fontId="1" fillId="0" borderId="1" xfId="16" applyFont="1" applyFill="1" applyBorder="1" applyAlignment="1">
      <alignment horizontal="center" vertical="center"/>
    </xf>
    <xf numFmtId="42" fontId="12" fillId="0" borderId="1" xfId="16" applyFont="1" applyFill="1" applyBorder="1" applyAlignment="1">
      <alignment horizontal="center" vertical="center"/>
    </xf>
    <xf numFmtId="42" fontId="1" fillId="2" borderId="6" xfId="16" applyFont="1" applyFill="1" applyBorder="1" applyAlignment="1">
      <alignment horizontal="center" vertical="center"/>
    </xf>
    <xf numFmtId="42" fontId="1" fillId="2" borderId="10" xfId="16"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1" fontId="3" fillId="8" borderId="11" xfId="0" applyNumberFormat="1" applyFont="1" applyFill="1" applyBorder="1" applyAlignment="1">
      <alignment horizontal="center" vertical="center"/>
    </xf>
    <xf numFmtId="0" fontId="3" fillId="8" borderId="11" xfId="0" applyFont="1" applyFill="1" applyBorder="1" applyAlignment="1">
      <alignment horizontal="center" vertical="center"/>
    </xf>
    <xf numFmtId="3" fontId="1" fillId="2" borderId="1" xfId="0" applyNumberFormat="1" applyFont="1" applyFill="1" applyBorder="1" applyAlignment="1">
      <alignment horizontal="justify" vertical="center" wrapText="1"/>
    </xf>
    <xf numFmtId="3" fontId="7" fillId="2" borderId="1" xfId="0" applyNumberFormat="1" applyFont="1" applyFill="1" applyBorder="1" applyAlignment="1">
      <alignment horizontal="center" vertical="center" wrapText="1"/>
    </xf>
    <xf numFmtId="44" fontId="7" fillId="2" borderId="6" xfId="14" applyFont="1" applyFill="1" applyBorder="1" applyAlignment="1">
      <alignment horizontal="center" vertical="center" wrapText="1"/>
    </xf>
    <xf numFmtId="42" fontId="7" fillId="2" borderId="13" xfId="16" applyFont="1" applyFill="1" applyBorder="1" applyAlignment="1">
      <alignment horizontal="justify" vertical="center" wrapText="1"/>
    </xf>
    <xf numFmtId="42" fontId="7" fillId="2" borderId="10" xfId="16" applyFont="1" applyFill="1" applyBorder="1" applyAlignment="1">
      <alignment horizontal="justify" vertical="center" wrapText="1"/>
    </xf>
    <xf numFmtId="169" fontId="30" fillId="3" borderId="1" xfId="0" applyNumberFormat="1" applyFont="1" applyFill="1" applyBorder="1" applyAlignment="1">
      <alignment horizontal="center" vertical="center" wrapText="1"/>
    </xf>
    <xf numFmtId="164" fontId="1" fillId="0" borderId="6" xfId="17" applyFont="1" applyFill="1" applyBorder="1" applyAlignment="1">
      <alignment horizontal="center" vertical="center" wrapText="1"/>
    </xf>
    <xf numFmtId="181" fontId="1" fillId="0" borderId="6" xfId="0" applyNumberFormat="1" applyFont="1" applyFill="1" applyBorder="1" applyAlignment="1">
      <alignment horizontal="center" vertical="center" wrapText="1"/>
    </xf>
    <xf numFmtId="181" fontId="12" fillId="0" borderId="6"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3" fontId="36" fillId="10" borderId="6" xfId="0" applyNumberFormat="1" applyFont="1" applyFill="1" applyBorder="1" applyAlignment="1">
      <alignment horizontal="center" vertical="center" wrapText="1"/>
    </xf>
    <xf numFmtId="3" fontId="1" fillId="0" borderId="1" xfId="0" applyNumberFormat="1" applyFont="1" applyFill="1" applyBorder="1" applyAlignment="1">
      <alignment horizontal="justify" vertical="center" wrapText="1"/>
    </xf>
    <xf numFmtId="0" fontId="12" fillId="0" borderId="6" xfId="0" applyFont="1" applyFill="1" applyBorder="1" applyAlignment="1">
      <alignment horizontal="center" wrapText="1"/>
    </xf>
    <xf numFmtId="164" fontId="1" fillId="0" borderId="6" xfId="17" applyFont="1" applyFill="1" applyBorder="1" applyAlignment="1">
      <alignment horizontal="right" vertical="center" wrapText="1"/>
    </xf>
    <xf numFmtId="181" fontId="1" fillId="0" borderId="1" xfId="0" applyNumberFormat="1"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164" fontId="1" fillId="0" borderId="1" xfId="17" applyFont="1" applyFill="1" applyBorder="1" applyAlignment="1">
      <alignment horizontal="right" vertical="center" wrapText="1"/>
    </xf>
    <xf numFmtId="0" fontId="8" fillId="0" borderId="1" xfId="0" applyFont="1" applyFill="1" applyBorder="1" applyAlignment="1">
      <alignment horizontal="justify" vertical="center" wrapText="1" readingOrder="2"/>
    </xf>
    <xf numFmtId="0" fontId="1" fillId="0" borderId="1" xfId="0" applyFont="1" applyFill="1" applyBorder="1" applyAlignment="1">
      <alignment horizontal="justify" wrapText="1"/>
    </xf>
    <xf numFmtId="0" fontId="1" fillId="0" borderId="1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 xfId="0" applyFont="1" applyFill="1" applyBorder="1" applyAlignment="1">
      <alignment vertical="center" wrapText="1"/>
    </xf>
    <xf numFmtId="0" fontId="8" fillId="0" borderId="6" xfId="0" applyFont="1" applyFill="1" applyBorder="1" applyAlignment="1">
      <alignment horizontal="justify" vertical="center" wrapText="1" readingOrder="2"/>
    </xf>
    <xf numFmtId="164" fontId="1" fillId="0" borderId="1" xfId="17" applyFont="1" applyFill="1" applyBorder="1" applyAlignment="1">
      <alignment horizontal="center" vertical="center" wrapText="1"/>
    </xf>
    <xf numFmtId="0" fontId="1" fillId="0" borderId="1" xfId="0" applyFont="1" applyFill="1" applyBorder="1" applyAlignment="1">
      <alignment horizontal="justify" vertical="center" wrapText="1" readingOrder="2"/>
    </xf>
    <xf numFmtId="0" fontId="8" fillId="0" borderId="1" xfId="0" applyFont="1" applyFill="1" applyBorder="1" applyAlignment="1">
      <alignment horizontal="justify" vertical="center" wrapText="1" readingOrder="1"/>
    </xf>
    <xf numFmtId="0" fontId="1" fillId="0" borderId="1" xfId="0" applyFont="1" applyFill="1" applyBorder="1" applyAlignment="1">
      <alignment wrapText="1"/>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164" fontId="7" fillId="0" borderId="1" xfId="17" applyFont="1" applyFill="1" applyBorder="1" applyAlignment="1">
      <alignment horizontal="right" vertical="center" wrapText="1"/>
    </xf>
    <xf numFmtId="4"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3" fillId="0" borderId="39" xfId="0" applyFont="1" applyFill="1" applyBorder="1" applyAlignment="1">
      <alignment horizontal="center"/>
    </xf>
    <xf numFmtId="0" fontId="1" fillId="0" borderId="1" xfId="0" applyNumberFormat="1" applyFont="1" applyFill="1" applyBorder="1" applyAlignment="1">
      <alignment horizontal="center" vertical="center"/>
    </xf>
    <xf numFmtId="0" fontId="3" fillId="6" borderId="11" xfId="0" applyFont="1" applyFill="1" applyBorder="1" applyAlignment="1">
      <alignment horizontal="left" vertical="center" wrapText="1"/>
    </xf>
    <xf numFmtId="0" fontId="3" fillId="7" borderId="1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3" borderId="10" xfId="0" applyFont="1" applyFill="1" applyBorder="1" applyAlignment="1">
      <alignment horizontal="justify" vertical="center" wrapText="1"/>
    </xf>
    <xf numFmtId="9" fontId="1" fillId="0" borderId="1" xfId="5" applyFont="1" applyFill="1" applyBorder="1" applyAlignment="1">
      <alignment horizontal="center" vertical="center"/>
    </xf>
    <xf numFmtId="2" fontId="1" fillId="2" borderId="10" xfId="0" applyNumberFormat="1" applyFont="1" applyFill="1" applyBorder="1" applyAlignment="1">
      <alignment horizontal="justify" vertical="center" wrapText="1"/>
    </xf>
    <xf numFmtId="0" fontId="3" fillId="6" borderId="7" xfId="0" applyFont="1" applyFill="1" applyBorder="1" applyAlignment="1">
      <alignment horizontal="left" vertical="center"/>
    </xf>
    <xf numFmtId="0" fontId="3" fillId="6" borderId="11" xfId="0" applyFont="1" applyFill="1" applyBorder="1" applyAlignment="1">
      <alignment horizontal="left" vertical="center"/>
    </xf>
    <xf numFmtId="0" fontId="3"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6" xfId="18" applyNumberFormat="1" applyFont="1" applyFill="1" applyBorder="1" applyAlignment="1">
      <alignment horizontal="justify" vertical="center" wrapText="1"/>
    </xf>
    <xf numFmtId="167" fontId="1" fillId="0" borderId="10" xfId="9" applyFont="1" applyFill="1" applyBorder="1" applyAlignment="1" applyProtection="1">
      <alignment horizontal="justify" vertical="center" wrapText="1"/>
      <protection locked="0"/>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0" borderId="0" xfId="0" applyFont="1" applyAlignment="1">
      <alignment horizontal="center"/>
    </xf>
    <xf numFmtId="169" fontId="12" fillId="2" borderId="6" xfId="0" applyNumberFormat="1" applyFont="1" applyFill="1" applyBorder="1" applyAlignment="1">
      <alignment horizontal="center" vertical="center" wrapText="1"/>
    </xf>
    <xf numFmtId="169" fontId="12" fillId="2" borderId="13" xfId="0" applyNumberFormat="1" applyFont="1" applyFill="1" applyBorder="1" applyAlignment="1">
      <alignment horizontal="center" vertical="center" wrapText="1"/>
    </xf>
    <xf numFmtId="169" fontId="12" fillId="2" borderId="10"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170" fontId="7" fillId="2" borderId="6" xfId="0" applyNumberFormat="1" applyFont="1" applyFill="1" applyBorder="1" applyAlignment="1">
      <alignment horizontal="center" vertical="center" wrapText="1"/>
    </xf>
    <xf numFmtId="170" fontId="7" fillId="2" borderId="13" xfId="0" applyNumberFormat="1" applyFont="1" applyFill="1" applyBorder="1" applyAlignment="1">
      <alignment horizontal="center" vertical="center" wrapText="1"/>
    </xf>
    <xf numFmtId="170" fontId="7" fillId="2" borderId="10" xfId="0" applyNumberFormat="1" applyFont="1" applyFill="1" applyBorder="1" applyAlignment="1">
      <alignment horizontal="center" vertical="center" wrapText="1"/>
    </xf>
    <xf numFmtId="9" fontId="7" fillId="2" borderId="6" xfId="5" applyFont="1" applyFill="1" applyBorder="1" applyAlignment="1">
      <alignment horizontal="center" vertical="center" wrapText="1"/>
    </xf>
    <xf numFmtId="9" fontId="7" fillId="2" borderId="13" xfId="5" applyFont="1" applyFill="1" applyBorder="1" applyAlignment="1">
      <alignment horizontal="center" vertical="center" wrapText="1"/>
    </xf>
    <xf numFmtId="9" fontId="7" fillId="2" borderId="10" xfId="5" applyFont="1" applyFill="1" applyBorder="1" applyAlignment="1">
      <alignment horizontal="center" vertical="center" wrapText="1"/>
    </xf>
    <xf numFmtId="170" fontId="1" fillId="0" borderId="6" xfId="0" applyNumberFormat="1" applyFont="1" applyFill="1" applyBorder="1" applyAlignment="1">
      <alignment horizontal="center" vertical="center" wrapText="1"/>
    </xf>
    <xf numFmtId="170" fontId="1" fillId="0" borderId="13" xfId="0" applyNumberFormat="1" applyFont="1" applyFill="1" applyBorder="1" applyAlignment="1">
      <alignment horizontal="center" vertical="center" wrapText="1"/>
    </xf>
    <xf numFmtId="170" fontId="1" fillId="0" borderId="17" xfId="0" applyNumberFormat="1" applyFont="1" applyFill="1" applyBorder="1" applyAlignment="1">
      <alignment horizontal="center" vertical="center" wrapText="1"/>
    </xf>
    <xf numFmtId="169" fontId="1" fillId="0" borderId="6" xfId="0" applyNumberFormat="1" applyFont="1" applyFill="1" applyBorder="1" applyAlignment="1">
      <alignment horizontal="center" vertical="center" wrapText="1"/>
    </xf>
    <xf numFmtId="169" fontId="1" fillId="0" borderId="13" xfId="0" applyNumberFormat="1" applyFont="1" applyFill="1" applyBorder="1" applyAlignment="1">
      <alignment horizontal="center" vertical="center" wrapText="1"/>
    </xf>
    <xf numFmtId="165" fontId="1" fillId="0" borderId="1" xfId="15" applyFont="1" applyFill="1" applyBorder="1" applyAlignment="1">
      <alignment horizontal="center" vertical="center" textRotation="180" wrapText="1"/>
    </xf>
    <xf numFmtId="165" fontId="1" fillId="0" borderId="6" xfId="15" applyFont="1" applyFill="1" applyBorder="1" applyAlignment="1">
      <alignment horizontal="center" vertical="center" textRotation="180" wrapText="1"/>
    </xf>
    <xf numFmtId="165" fontId="12" fillId="0" borderId="1" xfId="15" applyFont="1" applyFill="1" applyBorder="1" applyAlignment="1">
      <alignment horizontal="center" vertical="center" textRotation="180" wrapText="1"/>
    </xf>
    <xf numFmtId="165" fontId="12" fillId="0" borderId="6" xfId="15" applyFont="1" applyFill="1" applyBorder="1" applyAlignment="1">
      <alignment horizontal="center" vertical="center" textRotation="180" wrapText="1"/>
    </xf>
    <xf numFmtId="165" fontId="12" fillId="0" borderId="13" xfId="15" applyFont="1" applyFill="1" applyBorder="1" applyAlignment="1">
      <alignment horizontal="center" vertical="center" textRotation="180"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41" xfId="0" applyFont="1" applyBorder="1" applyAlignment="1">
      <alignment horizontal="center" vertical="center"/>
    </xf>
    <xf numFmtId="3" fontId="3" fillId="2" borderId="12" xfId="0" applyNumberFormat="1" applyFont="1" applyFill="1" applyBorder="1" applyAlignment="1">
      <alignment horizontal="center" vertical="center"/>
    </xf>
    <xf numFmtId="10" fontId="1" fillId="0" borderId="6" xfId="0" applyNumberFormat="1" applyFont="1" applyFill="1" applyBorder="1" applyAlignment="1">
      <alignment horizontal="center" vertical="center" wrapText="1"/>
    </xf>
    <xf numFmtId="10" fontId="1" fillId="0" borderId="13" xfId="0" applyNumberFormat="1" applyFont="1" applyFill="1" applyBorder="1" applyAlignment="1">
      <alignment horizontal="center" vertical="center" wrapText="1"/>
    </xf>
    <xf numFmtId="10" fontId="1" fillId="0" borderId="17" xfId="0" applyNumberFormat="1" applyFont="1" applyFill="1" applyBorder="1" applyAlignment="1">
      <alignment horizontal="center" vertical="center" wrapText="1"/>
    </xf>
    <xf numFmtId="169" fontId="12" fillId="0" borderId="6"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wrapText="1"/>
    </xf>
    <xf numFmtId="169" fontId="12" fillId="0" borderId="17" xfId="0" applyNumberFormat="1" applyFont="1" applyFill="1" applyBorder="1" applyAlignment="1">
      <alignment horizontal="center" vertical="center" wrapText="1"/>
    </xf>
    <xf numFmtId="165" fontId="1" fillId="0" borderId="13" xfId="15" applyFont="1" applyFill="1" applyBorder="1" applyAlignment="1">
      <alignment horizontal="center" vertical="center" textRotation="180" wrapText="1"/>
    </xf>
    <xf numFmtId="165" fontId="1" fillId="0" borderId="17" xfId="15" applyFont="1" applyFill="1" applyBorder="1" applyAlignment="1">
      <alignment horizontal="center" vertical="center" textRotation="180" wrapText="1"/>
    </xf>
    <xf numFmtId="165" fontId="12" fillId="0" borderId="17" xfId="15" applyFont="1" applyFill="1" applyBorder="1" applyAlignment="1">
      <alignment horizontal="center" vertical="center" textRotation="180" wrapText="1"/>
    </xf>
    <xf numFmtId="9" fontId="1" fillId="0" borderId="1" xfId="5" applyFont="1" applyFill="1" applyBorder="1" applyAlignment="1">
      <alignment horizontal="center" vertical="center" wrapText="1"/>
    </xf>
    <xf numFmtId="9" fontId="1" fillId="0" borderId="6" xfId="5" applyFont="1" applyFill="1" applyBorder="1" applyAlignment="1">
      <alignment horizontal="center" vertical="center" wrapText="1"/>
    </xf>
    <xf numFmtId="170" fontId="1" fillId="0" borderId="1" xfId="0" applyNumberFormat="1" applyFont="1" applyFill="1" applyBorder="1" applyAlignment="1">
      <alignment horizontal="center" vertical="center" wrapText="1"/>
    </xf>
    <xf numFmtId="0" fontId="1" fillId="0" borderId="6" xfId="8" applyNumberFormat="1" applyFont="1" applyFill="1" applyBorder="1" applyAlignment="1">
      <alignment horizontal="center" vertical="center" wrapText="1"/>
    </xf>
    <xf numFmtId="0" fontId="1" fillId="0" borderId="13" xfId="8"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169" fontId="7" fillId="0" borderId="6" xfId="0" applyNumberFormat="1" applyFont="1" applyFill="1" applyBorder="1" applyAlignment="1">
      <alignment horizontal="center" vertical="center" wrapText="1"/>
    </xf>
    <xf numFmtId="169" fontId="7" fillId="0" borderId="13" xfId="0" applyNumberFormat="1" applyFont="1" applyFill="1" applyBorder="1" applyAlignment="1">
      <alignment horizontal="center" vertical="center" wrapText="1"/>
    </xf>
    <xf numFmtId="169" fontId="7" fillId="0" borderId="10" xfId="0" applyNumberFormat="1" applyFont="1" applyFill="1" applyBorder="1" applyAlignment="1">
      <alignment horizontal="center" vertical="center" wrapText="1"/>
    </xf>
    <xf numFmtId="169" fontId="12" fillId="0" borderId="10"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170" fontId="7" fillId="0" borderId="6" xfId="0" applyNumberFormat="1" applyFont="1" applyFill="1" applyBorder="1" applyAlignment="1">
      <alignment horizontal="center" vertical="center" wrapText="1"/>
    </xf>
    <xf numFmtId="170" fontId="7" fillId="0" borderId="13" xfId="0" applyNumberFormat="1" applyFont="1" applyFill="1" applyBorder="1" applyAlignment="1">
      <alignment horizontal="center" vertical="center" wrapText="1"/>
    </xf>
    <xf numFmtId="170" fontId="7" fillId="0" borderId="10" xfId="0" applyNumberFormat="1" applyFont="1" applyFill="1" applyBorder="1" applyAlignment="1">
      <alignment horizontal="center" vertical="center" wrapText="1"/>
    </xf>
    <xf numFmtId="10" fontId="7" fillId="0" borderId="6" xfId="5" applyNumberFormat="1" applyFont="1" applyFill="1" applyBorder="1" applyAlignment="1">
      <alignment horizontal="center" vertical="center" wrapText="1"/>
    </xf>
    <xf numFmtId="10" fontId="7" fillId="0" borderId="13" xfId="5" applyNumberFormat="1" applyFont="1" applyFill="1" applyBorder="1" applyAlignment="1">
      <alignment horizontal="center" vertical="center" wrapText="1"/>
    </xf>
    <xf numFmtId="10" fontId="7" fillId="0" borderId="10" xfId="5"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165" fontId="7" fillId="0" borderId="6" xfId="15" applyFont="1" applyFill="1" applyBorder="1" applyAlignment="1">
      <alignment horizontal="center" vertical="center" textRotation="180" wrapText="1"/>
    </xf>
    <xf numFmtId="165" fontId="7" fillId="0" borderId="13" xfId="15" applyFont="1" applyFill="1" applyBorder="1" applyAlignment="1">
      <alignment horizontal="center" vertical="center" textRotation="180" wrapText="1"/>
    </xf>
    <xf numFmtId="165" fontId="7" fillId="0" borderId="10" xfId="15" applyFont="1" applyFill="1" applyBorder="1" applyAlignment="1">
      <alignment horizontal="center" vertical="center" textRotation="180" wrapText="1"/>
    </xf>
    <xf numFmtId="165" fontId="12" fillId="0" borderId="10" xfId="15" applyFont="1" applyFill="1" applyBorder="1" applyAlignment="1">
      <alignment horizontal="center" vertical="center" textRotation="180" wrapText="1"/>
    </xf>
    <xf numFmtId="1" fontId="7" fillId="0" borderId="6" xfId="15" applyNumberFormat="1" applyFont="1" applyFill="1" applyBorder="1" applyAlignment="1">
      <alignment horizontal="center" vertical="center" textRotation="180" wrapText="1"/>
    </xf>
    <xf numFmtId="1" fontId="7" fillId="0" borderId="13" xfId="15" applyNumberFormat="1" applyFont="1" applyFill="1" applyBorder="1" applyAlignment="1">
      <alignment horizontal="center" vertical="center" textRotation="180" wrapText="1"/>
    </xf>
    <xf numFmtId="1" fontId="7" fillId="0" borderId="10" xfId="15" applyNumberFormat="1" applyFont="1" applyFill="1" applyBorder="1" applyAlignment="1">
      <alignment horizontal="center" vertical="center" textRotation="180" wrapText="1"/>
    </xf>
    <xf numFmtId="1" fontId="12" fillId="0" borderId="6" xfId="15" applyNumberFormat="1" applyFont="1" applyFill="1" applyBorder="1" applyAlignment="1">
      <alignment horizontal="center" vertical="center" textRotation="180" wrapText="1"/>
    </xf>
    <xf numFmtId="1" fontId="12" fillId="0" borderId="13" xfId="15" applyNumberFormat="1" applyFont="1" applyFill="1" applyBorder="1" applyAlignment="1">
      <alignment horizontal="center" vertical="center" textRotation="180" wrapText="1"/>
    </xf>
    <xf numFmtId="1" fontId="12" fillId="0" borderId="10" xfId="15" applyNumberFormat="1" applyFont="1" applyFill="1" applyBorder="1" applyAlignment="1">
      <alignment horizontal="center" vertical="center" textRotation="180" wrapText="1"/>
    </xf>
    <xf numFmtId="170" fontId="12" fillId="2" borderId="6" xfId="0" applyNumberFormat="1" applyFont="1" applyFill="1" applyBorder="1" applyAlignment="1">
      <alignment horizontal="center" vertical="center" wrapText="1"/>
    </xf>
    <xf numFmtId="170" fontId="12" fillId="2" borderId="13" xfId="0" applyNumberFormat="1" applyFont="1" applyFill="1" applyBorder="1" applyAlignment="1">
      <alignment horizontal="center" vertical="center" wrapText="1"/>
    </xf>
    <xf numFmtId="170" fontId="12" fillId="2" borderId="10" xfId="0" applyNumberFormat="1" applyFont="1" applyFill="1" applyBorder="1" applyAlignment="1">
      <alignment horizontal="center" vertical="center" wrapText="1"/>
    </xf>
    <xf numFmtId="170" fontId="12" fillId="0" borderId="6" xfId="0" applyNumberFormat="1" applyFont="1" applyFill="1" applyBorder="1" applyAlignment="1">
      <alignment horizontal="center" vertical="center" wrapText="1"/>
    </xf>
    <xf numFmtId="170" fontId="12" fillId="0" borderId="13" xfId="0" applyNumberFormat="1" applyFont="1" applyFill="1" applyBorder="1" applyAlignment="1">
      <alignment horizontal="center" vertical="center" wrapText="1"/>
    </xf>
    <xf numFmtId="170" fontId="12" fillId="0" borderId="10" xfId="0" applyNumberFormat="1" applyFont="1" applyFill="1" applyBorder="1" applyAlignment="1">
      <alignment horizontal="center" vertical="center" wrapText="1"/>
    </xf>
    <xf numFmtId="0" fontId="7" fillId="0" borderId="6" xfId="8" applyNumberFormat="1" applyFont="1" applyFill="1" applyBorder="1" applyAlignment="1">
      <alignment horizontal="center" vertical="center" wrapText="1"/>
    </xf>
    <xf numFmtId="0" fontId="7" fillId="0" borderId="13" xfId="8" applyNumberFormat="1" applyFont="1" applyFill="1" applyBorder="1" applyAlignment="1">
      <alignment horizontal="center" vertical="center" wrapText="1"/>
    </xf>
    <xf numFmtId="0" fontId="7" fillId="0" borderId="10" xfId="8" applyNumberFormat="1"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0" xfId="0" applyFont="1" applyFill="1" applyBorder="1" applyAlignment="1">
      <alignment horizontal="justify" vertical="center" wrapText="1"/>
    </xf>
    <xf numFmtId="9" fontId="7" fillId="0" borderId="6" xfId="5" applyFont="1" applyFill="1" applyBorder="1" applyAlignment="1">
      <alignment horizontal="center" vertical="center" wrapText="1"/>
    </xf>
    <xf numFmtId="9" fontId="7" fillId="0" borderId="13" xfId="5" applyFont="1" applyFill="1" applyBorder="1" applyAlignment="1">
      <alignment horizontal="center" vertical="center" wrapText="1"/>
    </xf>
    <xf numFmtId="9" fontId="7" fillId="0" borderId="10" xfId="5"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6" xfId="15" applyNumberFormat="1" applyFont="1" applyFill="1" applyBorder="1" applyAlignment="1">
      <alignment horizontal="center" vertical="center" textRotation="180" wrapText="1"/>
    </xf>
    <xf numFmtId="9" fontId="7" fillId="0" borderId="1" xfId="5" applyFont="1" applyFill="1" applyBorder="1" applyAlignment="1">
      <alignment horizontal="center" vertical="center" wrapText="1"/>
    </xf>
    <xf numFmtId="0" fontId="7" fillId="0" borderId="1" xfId="0" applyFont="1" applyFill="1" applyBorder="1" applyAlignment="1">
      <alignment horizontal="justify" vertical="center" wrapText="1"/>
    </xf>
    <xf numFmtId="3" fontId="7" fillId="0" borderId="1"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13"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65" fontId="12" fillId="2" borderId="6" xfId="15" applyFont="1" applyFill="1" applyBorder="1" applyAlignment="1">
      <alignment horizontal="center" vertical="center" textRotation="180" wrapText="1"/>
    </xf>
    <xf numFmtId="165" fontId="12" fillId="2" borderId="13" xfId="15" applyFont="1" applyFill="1" applyBorder="1" applyAlignment="1">
      <alignment horizontal="center" vertical="center" textRotation="180" wrapText="1"/>
    </xf>
    <xf numFmtId="165" fontId="12" fillId="2" borderId="10" xfId="15" applyFont="1" applyFill="1" applyBorder="1" applyAlignment="1">
      <alignment horizontal="center" vertical="center" textRotation="180" wrapText="1"/>
    </xf>
    <xf numFmtId="169" fontId="7" fillId="2" borderId="6" xfId="0" applyNumberFormat="1" applyFont="1" applyFill="1" applyBorder="1" applyAlignment="1">
      <alignment horizontal="center" vertical="center" wrapText="1"/>
    </xf>
    <xf numFmtId="169" fontId="7" fillId="2" borderId="13" xfId="0" applyNumberFormat="1" applyFont="1" applyFill="1" applyBorder="1" applyAlignment="1">
      <alignment horizontal="center" vertical="center" wrapText="1"/>
    </xf>
    <xf numFmtId="169" fontId="7" fillId="2" borderId="10" xfId="0" applyNumberFormat="1" applyFont="1" applyFill="1" applyBorder="1" applyAlignment="1">
      <alignment horizontal="center" vertical="center" wrapText="1"/>
    </xf>
    <xf numFmtId="165" fontId="7" fillId="2" borderId="6" xfId="15" applyFont="1" applyFill="1" applyBorder="1" applyAlignment="1">
      <alignment horizontal="center" vertical="center" textRotation="180" wrapText="1"/>
    </xf>
    <xf numFmtId="165" fontId="7" fillId="2" borderId="13" xfId="15" applyFont="1" applyFill="1" applyBorder="1" applyAlignment="1">
      <alignment horizontal="center" vertical="center" textRotation="180" wrapText="1"/>
    </xf>
    <xf numFmtId="165" fontId="7" fillId="2" borderId="10" xfId="15" applyFont="1" applyFill="1" applyBorder="1" applyAlignment="1">
      <alignment horizontal="center" vertical="center" textRotation="180" wrapText="1"/>
    </xf>
    <xf numFmtId="1" fontId="12" fillId="2" borderId="6" xfId="15" applyNumberFormat="1" applyFont="1" applyFill="1" applyBorder="1" applyAlignment="1">
      <alignment horizontal="center" vertical="center" textRotation="180" wrapText="1"/>
    </xf>
    <xf numFmtId="1" fontId="12" fillId="2" borderId="13" xfId="15" applyNumberFormat="1" applyFont="1" applyFill="1" applyBorder="1" applyAlignment="1">
      <alignment horizontal="center" vertical="center" textRotation="180" wrapText="1"/>
    </xf>
    <xf numFmtId="1" fontId="12" fillId="2" borderId="10" xfId="15" applyNumberFormat="1" applyFont="1" applyFill="1" applyBorder="1" applyAlignment="1">
      <alignment horizontal="center" vertical="center" textRotation="180" wrapText="1"/>
    </xf>
    <xf numFmtId="1" fontId="7" fillId="2" borderId="6" xfId="15" applyNumberFormat="1" applyFont="1" applyFill="1" applyBorder="1" applyAlignment="1">
      <alignment horizontal="center" vertical="center" textRotation="180" wrapText="1"/>
    </xf>
    <xf numFmtId="1" fontId="7" fillId="2" borderId="13" xfId="15" applyNumberFormat="1" applyFont="1" applyFill="1" applyBorder="1" applyAlignment="1">
      <alignment horizontal="center" vertical="center" textRotation="180" wrapText="1"/>
    </xf>
    <xf numFmtId="1" fontId="7" fillId="2" borderId="10" xfId="15" applyNumberFormat="1" applyFont="1" applyFill="1" applyBorder="1" applyAlignment="1">
      <alignment horizontal="center" vertical="center" textRotation="180" wrapText="1"/>
    </xf>
    <xf numFmtId="9" fontId="7" fillId="2" borderId="1" xfId="5" applyFont="1" applyFill="1" applyBorder="1" applyAlignment="1">
      <alignment horizontal="center" vertical="center" wrapText="1"/>
    </xf>
    <xf numFmtId="0" fontId="7" fillId="2" borderId="6" xfId="8" applyNumberFormat="1" applyFont="1" applyFill="1" applyBorder="1" applyAlignment="1">
      <alignment horizontal="center" vertical="center" wrapText="1"/>
    </xf>
    <xf numFmtId="0" fontId="7" fillId="2" borderId="13" xfId="8" applyNumberFormat="1" applyFont="1" applyFill="1" applyBorder="1" applyAlignment="1">
      <alignment horizontal="center" vertical="center" wrapText="1"/>
    </xf>
    <xf numFmtId="0" fontId="7" fillId="2" borderId="10" xfId="8"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2" fontId="12" fillId="2" borderId="13" xfId="0" applyNumberFormat="1" applyFont="1" applyFill="1" applyBorder="1" applyAlignment="1">
      <alignment horizontal="center" vertical="center" wrapText="1"/>
    </xf>
    <xf numFmtId="2" fontId="12" fillId="2" borderId="10"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3" fontId="12" fillId="0" borderId="6" xfId="15" applyNumberFormat="1" applyFont="1" applyFill="1" applyBorder="1" applyAlignment="1">
      <alignment horizontal="center" vertical="center" textRotation="180" wrapText="1"/>
    </xf>
    <xf numFmtId="3" fontId="12" fillId="0" borderId="13" xfId="15" applyNumberFormat="1" applyFont="1" applyFill="1" applyBorder="1" applyAlignment="1">
      <alignment horizontal="center" vertical="center" textRotation="180" wrapText="1"/>
    </xf>
    <xf numFmtId="3" fontId="12" fillId="0" borderId="10" xfId="15" applyNumberFormat="1" applyFont="1" applyFill="1" applyBorder="1" applyAlignment="1">
      <alignment horizontal="center" vertical="center" textRotation="180" wrapText="1"/>
    </xf>
    <xf numFmtId="3" fontId="7" fillId="0" borderId="6" xfId="15" applyNumberFormat="1" applyFont="1" applyFill="1" applyBorder="1" applyAlignment="1">
      <alignment horizontal="center" vertical="center" textRotation="180" wrapText="1"/>
    </xf>
    <xf numFmtId="3" fontId="7" fillId="0" borderId="13" xfId="15" applyNumberFormat="1" applyFont="1" applyFill="1" applyBorder="1" applyAlignment="1">
      <alignment horizontal="center" vertical="center" textRotation="180" wrapText="1"/>
    </xf>
    <xf numFmtId="3" fontId="7" fillId="0" borderId="10" xfId="15" applyNumberFormat="1" applyFont="1" applyFill="1" applyBorder="1" applyAlignment="1">
      <alignment horizontal="center" vertical="center" textRotation="180" wrapText="1"/>
    </xf>
    <xf numFmtId="0" fontId="7" fillId="0" borderId="1" xfId="0" applyFont="1" applyFill="1" applyBorder="1" applyAlignment="1">
      <alignment horizontal="justify" vertical="center" wrapText="1" readingOrder="2"/>
    </xf>
    <xf numFmtId="3" fontId="7" fillId="0" borderId="6" xfId="8" applyNumberFormat="1" applyFont="1" applyFill="1" applyBorder="1" applyAlignment="1">
      <alignment horizontal="center" vertical="center" wrapText="1"/>
    </xf>
    <xf numFmtId="3" fontId="7" fillId="0" borderId="13" xfId="8" applyNumberFormat="1" applyFont="1" applyFill="1" applyBorder="1" applyAlignment="1">
      <alignment horizontal="center" vertical="center" wrapText="1"/>
    </xf>
    <xf numFmtId="3" fontId="7" fillId="0" borderId="10" xfId="8"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169" fontId="3" fillId="3" borderId="7" xfId="0" applyNumberFormat="1" applyFont="1" applyFill="1" applyBorder="1" applyAlignment="1">
      <alignment horizontal="center" vertical="center" wrapText="1"/>
    </xf>
    <xf numFmtId="169" fontId="3" fillId="3" borderId="3"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3" fontId="9" fillId="10" borderId="1" xfId="0" applyNumberFormat="1" applyFont="1" applyFill="1" applyBorder="1" applyAlignment="1">
      <alignment horizontal="center" vertical="center" wrapText="1"/>
    </xf>
    <xf numFmtId="9" fontId="9" fillId="10" borderId="1" xfId="3"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169" fontId="3" fillId="3" borderId="4" xfId="0" applyNumberFormat="1" applyFont="1" applyFill="1" applyBorder="1" applyAlignment="1">
      <alignment horizontal="center" vertical="center" wrapText="1"/>
    </xf>
    <xf numFmtId="169" fontId="3" fillId="3" borderId="5" xfId="0" applyNumberFormat="1" applyFont="1" applyFill="1" applyBorder="1" applyAlignment="1">
      <alignment horizontal="center" vertical="center" wrapText="1"/>
    </xf>
    <xf numFmtId="169" fontId="3" fillId="3" borderId="8" xfId="0" applyNumberFormat="1" applyFont="1" applyFill="1" applyBorder="1" applyAlignment="1">
      <alignment horizontal="center" vertical="center" wrapText="1"/>
    </xf>
    <xf numFmtId="169" fontId="3" fillId="3" borderId="9"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167" fontId="3" fillId="3" borderId="23" xfId="18" applyFont="1" applyFill="1" applyBorder="1" applyAlignment="1">
      <alignment horizontal="center" vertical="center"/>
    </xf>
    <xf numFmtId="167" fontId="3" fillId="3" borderId="24" xfId="18" applyFont="1" applyFill="1" applyBorder="1" applyAlignment="1">
      <alignment horizontal="center" vertical="center"/>
    </xf>
    <xf numFmtId="167" fontId="3" fillId="3" borderId="25" xfId="18"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52" xfId="0" applyNumberFormat="1" applyFont="1" applyFill="1" applyBorder="1" applyAlignment="1">
      <alignment horizontal="center" vertical="center" wrapText="1"/>
    </xf>
    <xf numFmtId="1" fontId="11" fillId="3" borderId="29"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181" fontId="11" fillId="3" borderId="4" xfId="0" applyNumberFormat="1" applyFont="1" applyFill="1" applyBorder="1" applyAlignment="1">
      <alignment horizontal="center" vertical="center" wrapText="1"/>
    </xf>
    <xf numFmtId="181" fontId="13" fillId="3" borderId="5" xfId="0" applyNumberFormat="1" applyFont="1" applyFill="1" applyBorder="1" applyAlignment="1">
      <alignment horizontal="center" vertical="center" wrapText="1"/>
    </xf>
    <xf numFmtId="180" fontId="11" fillId="3" borderId="6" xfId="0" applyNumberFormat="1" applyFont="1" applyFill="1" applyBorder="1" applyAlignment="1">
      <alignment horizontal="center" vertical="center" wrapText="1"/>
    </xf>
    <xf numFmtId="180" fontId="11" fillId="3" borderId="10" xfId="0" applyNumberFormat="1" applyFont="1" applyFill="1" applyBorder="1" applyAlignment="1">
      <alignment horizontal="center" vertical="center" wrapText="1"/>
    </xf>
    <xf numFmtId="170" fontId="11" fillId="3" borderId="6" xfId="0" applyNumberFormat="1" applyFont="1" applyFill="1" applyBorder="1" applyAlignment="1">
      <alignment horizontal="center" vertical="center" wrapText="1"/>
    </xf>
    <xf numFmtId="170" fontId="11" fillId="3" borderId="10" xfId="0" applyNumberFormat="1"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167" fontId="11" fillId="3" borderId="23" xfId="9" applyFont="1" applyFill="1" applyBorder="1" applyAlignment="1">
      <alignment horizontal="center" vertical="center"/>
    </xf>
    <xf numFmtId="167" fontId="11" fillId="3" borderId="24" xfId="9" applyFont="1" applyFill="1" applyBorder="1" applyAlignment="1">
      <alignment horizontal="center" vertical="center"/>
    </xf>
    <xf numFmtId="167" fontId="11" fillId="3" borderId="25" xfId="9" applyFont="1" applyFill="1" applyBorder="1" applyAlignment="1">
      <alignment horizontal="center" vertical="center"/>
    </xf>
    <xf numFmtId="170" fontId="11" fillId="3" borderId="4" xfId="0" applyNumberFormat="1" applyFont="1" applyFill="1" applyBorder="1" applyAlignment="1">
      <alignment horizontal="center" vertical="center" wrapText="1"/>
    </xf>
    <xf numFmtId="170" fontId="11" fillId="3" borderId="12" xfId="0" applyNumberFormat="1" applyFont="1" applyFill="1" applyBorder="1" applyAlignment="1">
      <alignment horizontal="center" vertical="center" wrapText="1"/>
    </xf>
    <xf numFmtId="170" fontId="11" fillId="3" borderId="5" xfId="0" applyNumberFormat="1" applyFont="1" applyFill="1" applyBorder="1" applyAlignment="1">
      <alignment horizontal="center" vertical="center" wrapText="1"/>
    </xf>
    <xf numFmtId="1" fontId="11" fillId="3" borderId="6"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0" fontId="7" fillId="2" borderId="6"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7" fillId="2" borderId="10" xfId="0" applyFont="1" applyFill="1" applyBorder="1" applyAlignment="1">
      <alignment horizontal="justify" vertical="center" wrapText="1"/>
    </xf>
    <xf numFmtId="1" fontId="11" fillId="2" borderId="6"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3" fontId="7" fillId="2" borderId="6" xfId="0" applyNumberFormat="1" applyFont="1" applyFill="1" applyBorder="1" applyAlignment="1">
      <alignment horizontal="justify" vertical="center" wrapText="1"/>
    </xf>
    <xf numFmtId="3" fontId="7" fillId="2" borderId="13" xfId="0" applyNumberFormat="1" applyFont="1" applyFill="1" applyBorder="1" applyAlignment="1">
      <alignment horizontal="justify" vertical="center" wrapText="1"/>
    </xf>
    <xf numFmtId="3" fontId="7" fillId="2" borderId="10" xfId="0" applyNumberFormat="1" applyFont="1" applyFill="1" applyBorder="1" applyAlignment="1">
      <alignment horizontal="justify" vertical="center" wrapText="1"/>
    </xf>
    <xf numFmtId="1" fontId="7" fillId="2" borderId="6"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81" fontId="12" fillId="2" borderId="6" xfId="0" applyNumberFormat="1" applyFont="1" applyFill="1" applyBorder="1" applyAlignment="1">
      <alignment horizontal="center" vertical="center" wrapText="1"/>
    </xf>
    <xf numFmtId="181" fontId="12" fillId="2" borderId="13" xfId="0" applyNumberFormat="1" applyFont="1" applyFill="1" applyBorder="1" applyAlignment="1">
      <alignment horizontal="center" vertical="center" wrapText="1"/>
    </xf>
    <xf numFmtId="181" fontId="12" fillId="2" borderId="10" xfId="0" applyNumberFormat="1" applyFont="1" applyFill="1" applyBorder="1" applyAlignment="1">
      <alignment horizontal="center" vertical="center" wrapText="1"/>
    </xf>
    <xf numFmtId="181" fontId="7" fillId="2" borderId="6" xfId="0" applyNumberFormat="1" applyFont="1" applyFill="1" applyBorder="1" applyAlignment="1">
      <alignment horizontal="center" vertical="center" wrapText="1"/>
    </xf>
    <xf numFmtId="181" fontId="7" fillId="2" borderId="13" xfId="0" applyNumberFormat="1" applyFont="1" applyFill="1" applyBorder="1" applyAlignment="1">
      <alignment horizontal="center" vertical="center" wrapText="1"/>
    </xf>
    <xf numFmtId="181" fontId="7" fillId="2" borderId="10" xfId="0" applyNumberFormat="1" applyFont="1" applyFill="1" applyBorder="1" applyAlignment="1">
      <alignment horizontal="center" vertical="center" wrapText="1"/>
    </xf>
    <xf numFmtId="3" fontId="7" fillId="2" borderId="42" xfId="0" applyNumberFormat="1" applyFont="1" applyFill="1" applyBorder="1" applyAlignment="1">
      <alignment horizontal="justify" vertical="center" wrapText="1"/>
    </xf>
    <xf numFmtId="3" fontId="7" fillId="2" borderId="28" xfId="0" applyNumberFormat="1" applyFont="1" applyFill="1" applyBorder="1" applyAlignment="1">
      <alignment horizontal="justify" vertical="center" wrapText="1"/>
    </xf>
    <xf numFmtId="3" fontId="7" fillId="2" borderId="30" xfId="0" applyNumberFormat="1" applyFont="1" applyFill="1" applyBorder="1" applyAlignment="1">
      <alignment horizontal="justify" vertical="center" wrapText="1"/>
    </xf>
    <xf numFmtId="0" fontId="7" fillId="2" borderId="0" xfId="0" applyFont="1" applyFill="1" applyBorder="1" applyAlignment="1">
      <alignment horizontal="center" vertical="center" wrapText="1"/>
    </xf>
    <xf numFmtId="0" fontId="7" fillId="2" borderId="14" xfId="0" applyFont="1" applyFill="1" applyBorder="1" applyAlignment="1">
      <alignment horizontal="center" vertical="center" wrapText="1"/>
    </xf>
    <xf numFmtId="172" fontId="7" fillId="2" borderId="6" xfId="8" applyNumberFormat="1" applyFont="1" applyFill="1" applyBorder="1" applyAlignment="1">
      <alignment horizontal="center" vertical="center" wrapText="1"/>
    </xf>
    <xf numFmtId="172" fontId="7" fillId="2" borderId="13" xfId="8" applyNumberFormat="1" applyFont="1" applyFill="1" applyBorder="1" applyAlignment="1">
      <alignment horizontal="center" vertical="center" wrapText="1"/>
    </xf>
    <xf numFmtId="172" fontId="7" fillId="2" borderId="10" xfId="8" applyNumberFormat="1" applyFont="1" applyFill="1" applyBorder="1" applyAlignment="1">
      <alignment horizontal="center" vertical="center" wrapText="1"/>
    </xf>
    <xf numFmtId="9" fontId="11" fillId="2" borderId="6" xfId="5" applyFont="1" applyFill="1" applyBorder="1" applyAlignment="1">
      <alignment horizontal="center" vertical="center" wrapText="1"/>
    </xf>
    <xf numFmtId="9" fontId="11" fillId="2" borderId="13" xfId="5" applyFont="1" applyFill="1" applyBorder="1" applyAlignment="1">
      <alignment horizontal="center" vertical="center" wrapText="1"/>
    </xf>
    <xf numFmtId="9" fontId="11" fillId="2" borderId="10" xfId="5"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1" fontId="7" fillId="2" borderId="6" xfId="0" applyNumberFormat="1" applyFont="1" applyFill="1" applyBorder="1" applyAlignment="1">
      <alignment horizontal="center" vertical="center"/>
    </xf>
    <xf numFmtId="1" fontId="7" fillId="2" borderId="13"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wrapText="1"/>
    </xf>
    <xf numFmtId="1" fontId="12" fillId="2" borderId="13" xfId="0" applyNumberFormat="1" applyFont="1" applyFill="1" applyBorder="1" applyAlignment="1">
      <alignment horizontal="center" vertical="center" wrapText="1"/>
    </xf>
    <xf numFmtId="9" fontId="7" fillId="2" borderId="6" xfId="5" applyFont="1" applyFill="1" applyBorder="1" applyAlignment="1">
      <alignment horizontal="center" vertical="center"/>
    </xf>
    <xf numFmtId="9" fontId="7" fillId="2" borderId="13" xfId="5" applyFont="1" applyFill="1" applyBorder="1" applyAlignment="1">
      <alignment horizontal="center" vertical="center"/>
    </xf>
    <xf numFmtId="170" fontId="7" fillId="2" borderId="6" xfId="0" applyNumberFormat="1" applyFont="1" applyFill="1" applyBorder="1" applyAlignment="1">
      <alignment horizontal="center" vertical="center"/>
    </xf>
    <xf numFmtId="170" fontId="7" fillId="2" borderId="13" xfId="0" applyNumberFormat="1" applyFont="1" applyFill="1" applyBorder="1" applyAlignment="1">
      <alignment horizontal="center" vertical="center"/>
    </xf>
    <xf numFmtId="1" fontId="7" fillId="2" borderId="6" xfId="0" applyNumberFormat="1" applyFont="1" applyFill="1" applyBorder="1" applyAlignment="1">
      <alignment horizontal="justify" vertical="center" wrapText="1"/>
    </xf>
    <xf numFmtId="1" fontId="7" fillId="2" borderId="13" xfId="0" applyNumberFormat="1" applyFont="1" applyFill="1" applyBorder="1" applyAlignment="1">
      <alignment horizontal="justify" vertical="center" wrapText="1"/>
    </xf>
    <xf numFmtId="0" fontId="7"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0" xfId="0" applyFont="1" applyFill="1" applyBorder="1" applyAlignment="1">
      <alignment horizontal="center" vertical="center"/>
    </xf>
    <xf numFmtId="0" fontId="7" fillId="2" borderId="42" xfId="0" applyFont="1" applyFill="1" applyBorder="1" applyAlignment="1">
      <alignment horizontal="justify" vertical="center" wrapText="1"/>
    </xf>
    <xf numFmtId="0" fontId="7" fillId="2" borderId="28" xfId="0" applyFont="1" applyFill="1" applyBorder="1" applyAlignment="1">
      <alignment horizontal="justify" vertical="center" wrapText="1"/>
    </xf>
    <xf numFmtId="1" fontId="12" fillId="2" borderId="6"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180" fontId="7" fillId="2" borderId="6" xfId="0" applyNumberFormat="1" applyFont="1" applyFill="1" applyBorder="1" applyAlignment="1">
      <alignment horizontal="center" vertical="center"/>
    </xf>
    <xf numFmtId="180" fontId="7" fillId="2" borderId="13" xfId="0" applyNumberFormat="1" applyFont="1" applyFill="1" applyBorder="1" applyAlignment="1">
      <alignment horizontal="center" vertical="center"/>
    </xf>
    <xf numFmtId="180" fontId="7" fillId="2" borderId="10" xfId="0" applyNumberFormat="1" applyFont="1" applyFill="1" applyBorder="1" applyAlignment="1">
      <alignment horizontal="center" vertical="center"/>
    </xf>
    <xf numFmtId="181" fontId="7" fillId="2" borderId="6" xfId="0" applyNumberFormat="1" applyFont="1" applyFill="1" applyBorder="1" applyAlignment="1">
      <alignment horizontal="center" vertical="center"/>
    </xf>
    <xf numFmtId="181" fontId="7" fillId="2" borderId="13" xfId="0" applyNumberFormat="1" applyFont="1" applyFill="1" applyBorder="1" applyAlignment="1">
      <alignment horizontal="center" vertical="center"/>
    </xf>
    <xf numFmtId="181" fontId="12" fillId="2" borderId="6" xfId="0" applyNumberFormat="1" applyFont="1" applyFill="1" applyBorder="1" applyAlignment="1">
      <alignment horizontal="center" vertical="center"/>
    </xf>
    <xf numFmtId="181" fontId="12" fillId="2" borderId="13" xfId="0" applyNumberFormat="1" applyFont="1" applyFill="1" applyBorder="1" applyAlignment="1">
      <alignment horizontal="center" vertical="center"/>
    </xf>
    <xf numFmtId="170" fontId="7" fillId="2" borderId="10"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167" fontId="7" fillId="2" borderId="6" xfId="0" applyNumberFormat="1" applyFont="1" applyFill="1" applyBorder="1" applyAlignment="1">
      <alignment horizontal="center" vertical="center"/>
    </xf>
    <xf numFmtId="167" fontId="7" fillId="2" borderId="13" xfId="0" applyNumberFormat="1" applyFont="1" applyFill="1" applyBorder="1" applyAlignment="1">
      <alignment horizontal="center" vertical="center"/>
    </xf>
    <xf numFmtId="167" fontId="7" fillId="2" borderId="10" xfId="0" applyNumberFormat="1" applyFont="1" applyFill="1" applyBorder="1" applyAlignment="1">
      <alignment horizontal="center" vertical="center"/>
    </xf>
    <xf numFmtId="1" fontId="12" fillId="2" borderId="6" xfId="5" applyNumberFormat="1" applyFont="1" applyFill="1" applyBorder="1" applyAlignment="1">
      <alignment horizontal="center" vertical="center"/>
    </xf>
    <xf numFmtId="1" fontId="12" fillId="2" borderId="13" xfId="5" applyNumberFormat="1" applyFont="1" applyFill="1" applyBorder="1" applyAlignment="1">
      <alignment horizontal="center" vertical="center"/>
    </xf>
    <xf numFmtId="1" fontId="12" fillId="2" borderId="10" xfId="5" applyNumberFormat="1" applyFont="1" applyFill="1" applyBorder="1" applyAlignment="1">
      <alignment horizontal="center" vertical="center"/>
    </xf>
    <xf numFmtId="172" fontId="7" fillId="2" borderId="6" xfId="8" applyNumberFormat="1" applyFont="1" applyFill="1" applyBorder="1" applyAlignment="1">
      <alignment horizontal="center" vertical="center"/>
    </xf>
    <xf numFmtId="172" fontId="7" fillId="2" borderId="13" xfId="8" applyNumberFormat="1" applyFont="1" applyFill="1" applyBorder="1" applyAlignment="1">
      <alignment horizontal="center" vertical="center"/>
    </xf>
    <xf numFmtId="172" fontId="7" fillId="2" borderId="10" xfId="8" applyNumberFormat="1" applyFont="1" applyFill="1" applyBorder="1" applyAlignment="1">
      <alignment horizontal="center" vertical="center"/>
    </xf>
    <xf numFmtId="9" fontId="7" fillId="2" borderId="10" xfId="5" applyFont="1" applyFill="1" applyBorder="1" applyAlignment="1">
      <alignment horizontal="center" vertical="center"/>
    </xf>
    <xf numFmtId="1" fontId="12" fillId="2" borderId="10" xfId="0" applyNumberFormat="1" applyFont="1" applyFill="1" applyBorder="1" applyAlignment="1">
      <alignment horizontal="center" vertical="center" wrapText="1"/>
    </xf>
    <xf numFmtId="14" fontId="7" fillId="2" borderId="6" xfId="0" applyNumberFormat="1" applyFont="1" applyFill="1" applyBorder="1" applyAlignment="1">
      <alignment horizontal="justify" vertical="center"/>
    </xf>
    <xf numFmtId="0" fontId="7" fillId="2" borderId="13" xfId="0" applyFont="1" applyFill="1" applyBorder="1" applyAlignment="1">
      <alignment horizontal="justify" vertical="center"/>
    </xf>
    <xf numFmtId="0" fontId="7" fillId="2" borderId="10" xfId="0" applyFont="1" applyFill="1" applyBorder="1" applyAlignment="1">
      <alignment horizontal="justify" vertical="center"/>
    </xf>
    <xf numFmtId="181" fontId="7" fillId="2" borderId="10" xfId="0" applyNumberFormat="1" applyFont="1" applyFill="1" applyBorder="1" applyAlignment="1">
      <alignment horizontal="center" vertical="center"/>
    </xf>
    <xf numFmtId="181" fontId="12" fillId="2" borderId="10"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0" fontId="7" fillId="2" borderId="6" xfId="0" applyFont="1" applyFill="1" applyBorder="1" applyAlignment="1">
      <alignment horizontal="justify"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xf>
    <xf numFmtId="180" fontId="7" fillId="0" borderId="6" xfId="0" applyNumberFormat="1" applyFont="1" applyFill="1" applyBorder="1" applyAlignment="1">
      <alignment horizontal="center" vertical="center"/>
    </xf>
    <xf numFmtId="180" fontId="7" fillId="0" borderId="13" xfId="0" applyNumberFormat="1" applyFont="1" applyFill="1" applyBorder="1" applyAlignment="1">
      <alignment horizontal="center" vertical="center"/>
    </xf>
    <xf numFmtId="180" fontId="7" fillId="0" borderId="10" xfId="0" applyNumberFormat="1" applyFont="1" applyFill="1" applyBorder="1" applyAlignment="1">
      <alignment horizontal="center" vertical="center"/>
    </xf>
    <xf numFmtId="170" fontId="7" fillId="0" borderId="6" xfId="0" applyNumberFormat="1" applyFont="1" applyFill="1" applyBorder="1" applyAlignment="1">
      <alignment horizontal="center" vertical="center"/>
    </xf>
    <xf numFmtId="170" fontId="7" fillId="0" borderId="13" xfId="0" applyNumberFormat="1" applyFont="1" applyFill="1" applyBorder="1" applyAlignment="1">
      <alignment horizontal="center" vertical="center"/>
    </xf>
    <xf numFmtId="170" fontId="7" fillId="0" borderId="10" xfId="0" applyNumberFormat="1" applyFont="1" applyFill="1" applyBorder="1" applyAlignment="1">
      <alignment horizontal="center" vertical="center"/>
    </xf>
    <xf numFmtId="1" fontId="7" fillId="0" borderId="6"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 fontId="12" fillId="0" borderId="6"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80" fontId="12" fillId="0" borderId="6" xfId="5" applyNumberFormat="1" applyFont="1" applyFill="1" applyBorder="1" applyAlignment="1">
      <alignment horizontal="center" vertical="center"/>
    </xf>
    <xf numFmtId="180" fontId="12" fillId="0" borderId="13" xfId="5" applyNumberFormat="1" applyFont="1" applyFill="1" applyBorder="1" applyAlignment="1">
      <alignment horizontal="center" vertical="center"/>
    </xf>
    <xf numFmtId="180" fontId="12" fillId="0" borderId="10" xfId="5"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0" fontId="7" fillId="0" borderId="6" xfId="0" applyFont="1" applyFill="1" applyBorder="1" applyAlignment="1">
      <alignment horizontal="justify" vertical="center"/>
    </xf>
    <xf numFmtId="0" fontId="7" fillId="0" borderId="13" xfId="0" applyFont="1" applyFill="1" applyBorder="1" applyAlignment="1">
      <alignment horizontal="justify" vertical="center"/>
    </xf>
    <xf numFmtId="0" fontId="7" fillId="0" borderId="10" xfId="0" applyFont="1" applyFill="1" applyBorder="1" applyAlignment="1">
      <alignment horizontal="justify" vertical="center"/>
    </xf>
    <xf numFmtId="1" fontId="12" fillId="0" borderId="6"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xf>
    <xf numFmtId="181" fontId="7" fillId="0" borderId="6" xfId="0" applyNumberFormat="1" applyFont="1" applyFill="1" applyBorder="1" applyAlignment="1">
      <alignment horizontal="center" vertical="center"/>
    </xf>
    <xf numFmtId="181" fontId="7" fillId="0" borderId="13" xfId="0" applyNumberFormat="1" applyFont="1" applyFill="1" applyBorder="1" applyAlignment="1">
      <alignment horizontal="center" vertical="center"/>
    </xf>
    <xf numFmtId="181" fontId="7" fillId="0" borderId="10" xfId="0" applyNumberFormat="1" applyFont="1" applyFill="1" applyBorder="1" applyAlignment="1">
      <alignment horizontal="center" vertical="center"/>
    </xf>
    <xf numFmtId="181" fontId="12" fillId="0" borderId="6" xfId="0" applyNumberFormat="1" applyFont="1" applyFill="1" applyBorder="1" applyAlignment="1">
      <alignment horizontal="center" vertical="center"/>
    </xf>
    <xf numFmtId="181" fontId="12" fillId="0" borderId="13" xfId="0" applyNumberFormat="1" applyFont="1" applyFill="1" applyBorder="1" applyAlignment="1">
      <alignment horizontal="center" vertical="center"/>
    </xf>
    <xf numFmtId="181" fontId="12" fillId="0" borderId="10" xfId="0" applyNumberFormat="1" applyFont="1" applyFill="1" applyBorder="1" applyAlignment="1">
      <alignment horizontal="center" vertical="center"/>
    </xf>
    <xf numFmtId="172" fontId="7" fillId="0" borderId="6" xfId="8" applyNumberFormat="1" applyFont="1" applyFill="1" applyBorder="1" applyAlignment="1">
      <alignment horizontal="center" vertical="center" wrapText="1"/>
    </xf>
    <xf numFmtId="172" fontId="7" fillId="0" borderId="13" xfId="8" applyNumberFormat="1" applyFont="1" applyFill="1" applyBorder="1" applyAlignment="1">
      <alignment horizontal="center" vertical="center" wrapText="1"/>
    </xf>
    <xf numFmtId="172" fontId="7" fillId="0" borderId="10" xfId="8"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justify" vertical="center"/>
    </xf>
    <xf numFmtId="1" fontId="7" fillId="2" borderId="6" xfId="0" applyNumberFormat="1" applyFont="1" applyFill="1" applyBorder="1" applyAlignment="1">
      <alignment horizontal="center"/>
    </xf>
    <xf numFmtId="1" fontId="7" fillId="2" borderId="13" xfId="0" applyNumberFormat="1" applyFont="1" applyFill="1" applyBorder="1" applyAlignment="1">
      <alignment horizontal="center"/>
    </xf>
    <xf numFmtId="166" fontId="7" fillId="2" borderId="6" xfId="8" applyFont="1" applyFill="1" applyBorder="1" applyAlignment="1">
      <alignment horizontal="center" wrapText="1"/>
    </xf>
    <xf numFmtId="166" fontId="7" fillId="2" borderId="13" xfId="8" applyFont="1" applyFill="1" applyBorder="1" applyAlignment="1">
      <alignment horizontal="center" wrapText="1"/>
    </xf>
    <xf numFmtId="1"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166" fontId="7" fillId="2" borderId="13" xfId="8" applyFont="1" applyFill="1" applyBorder="1" applyAlignment="1">
      <alignment horizontal="center" vertical="top" wrapText="1"/>
    </xf>
    <xf numFmtId="166" fontId="7" fillId="2" borderId="10" xfId="8" applyFont="1" applyFill="1" applyBorder="1" applyAlignment="1">
      <alignment horizontal="center" vertical="top" wrapText="1"/>
    </xf>
    <xf numFmtId="1" fontId="7" fillId="2" borderId="6" xfId="0" applyNumberFormat="1" applyFont="1" applyFill="1" applyBorder="1" applyAlignment="1">
      <alignment horizontal="center" vertical="center" textRotation="91" wrapText="1"/>
    </xf>
    <xf numFmtId="1" fontId="7" fillId="2" borderId="13" xfId="0" applyNumberFormat="1" applyFont="1" applyFill="1" applyBorder="1" applyAlignment="1">
      <alignment horizontal="center" vertical="center" textRotation="91" wrapText="1"/>
    </xf>
    <xf numFmtId="1" fontId="7" fillId="2" borderId="10" xfId="0" applyNumberFormat="1" applyFont="1" applyFill="1" applyBorder="1" applyAlignment="1">
      <alignment horizontal="center" vertical="center" textRotation="91" wrapText="1"/>
    </xf>
    <xf numFmtId="3" fontId="7" fillId="2" borderId="6" xfId="8" applyNumberFormat="1" applyFont="1" applyFill="1" applyBorder="1" applyAlignment="1">
      <alignment horizontal="center" vertical="center" wrapText="1"/>
    </xf>
    <xf numFmtId="3" fontId="7" fillId="2" borderId="13" xfId="8" applyNumberFormat="1" applyFont="1" applyFill="1" applyBorder="1" applyAlignment="1">
      <alignment horizontal="center" vertical="center" wrapText="1"/>
    </xf>
    <xf numFmtId="3" fontId="7" fillId="2" borderId="10" xfId="8" applyNumberFormat="1" applyFont="1" applyFill="1" applyBorder="1" applyAlignment="1">
      <alignment horizontal="center" vertical="center" wrapText="1"/>
    </xf>
    <xf numFmtId="0" fontId="7" fillId="2" borderId="6" xfId="0" applyFont="1" applyFill="1" applyBorder="1" applyAlignment="1">
      <alignment horizontal="center"/>
    </xf>
    <xf numFmtId="0" fontId="7" fillId="2" borderId="10" xfId="0" applyFont="1" applyFill="1" applyBorder="1" applyAlignment="1">
      <alignment horizontal="center"/>
    </xf>
    <xf numFmtId="0" fontId="12" fillId="2" borderId="6" xfId="0" applyFont="1" applyFill="1" applyBorder="1" applyAlignment="1">
      <alignment horizontal="center"/>
    </xf>
    <xf numFmtId="0" fontId="12" fillId="2" borderId="10" xfId="0" applyFont="1" applyFill="1" applyBorder="1" applyAlignment="1">
      <alignment horizontal="center"/>
    </xf>
    <xf numFmtId="1" fontId="7" fillId="2" borderId="6" xfId="0" applyNumberFormat="1" applyFont="1" applyFill="1" applyBorder="1" applyAlignment="1">
      <alignment horizontal="center" vertical="center" textRotation="180" wrapText="1"/>
    </xf>
    <xf numFmtId="1" fontId="7" fillId="2" borderId="10" xfId="0" applyNumberFormat="1" applyFont="1" applyFill="1" applyBorder="1" applyAlignment="1">
      <alignment horizontal="center" vertical="center" textRotation="180" wrapText="1"/>
    </xf>
    <xf numFmtId="1" fontId="12" fillId="2" borderId="6" xfId="0" applyNumberFormat="1" applyFont="1" applyFill="1" applyBorder="1" applyAlignment="1">
      <alignment horizontal="center" vertical="center" textRotation="180" wrapText="1"/>
    </xf>
    <xf numFmtId="1" fontId="12" fillId="2" borderId="10" xfId="0" applyNumberFormat="1" applyFont="1" applyFill="1" applyBorder="1" applyAlignment="1">
      <alignment horizontal="center" vertical="center" textRotation="180" wrapText="1"/>
    </xf>
    <xf numFmtId="180" fontId="7" fillId="2" borderId="1" xfId="0" applyNumberFormat="1" applyFont="1" applyFill="1" applyBorder="1" applyAlignment="1">
      <alignment horizontal="center" vertical="center"/>
    </xf>
    <xf numFmtId="14" fontId="7" fillId="2" borderId="6" xfId="0" applyNumberFormat="1" applyFont="1" applyFill="1" applyBorder="1" applyAlignment="1">
      <alignment horizontal="center" vertical="center"/>
    </xf>
    <xf numFmtId="14" fontId="7" fillId="2" borderId="10" xfId="0" applyNumberFormat="1" applyFont="1" applyFill="1" applyBorder="1" applyAlignment="1">
      <alignment horizontal="center" vertical="center"/>
    </xf>
    <xf numFmtId="14" fontId="12" fillId="2" borderId="6" xfId="0" applyNumberFormat="1" applyFont="1" applyFill="1" applyBorder="1" applyAlignment="1">
      <alignment horizontal="center" vertical="center"/>
    </xf>
    <xf numFmtId="14" fontId="12" fillId="2" borderId="10" xfId="0" applyNumberFormat="1" applyFont="1" applyFill="1" applyBorder="1" applyAlignment="1">
      <alignment horizontal="center" vertical="center"/>
    </xf>
    <xf numFmtId="1" fontId="7" fillId="2" borderId="13" xfId="0" applyNumberFormat="1" applyFont="1" applyFill="1" applyBorder="1" applyAlignment="1">
      <alignment horizontal="center" vertical="center" textRotation="180" wrapText="1"/>
    </xf>
    <xf numFmtId="1" fontId="12" fillId="2" borderId="13" xfId="0" applyNumberFormat="1" applyFont="1" applyFill="1" applyBorder="1" applyAlignment="1">
      <alignment horizontal="center" vertical="center" textRotation="180" wrapText="1"/>
    </xf>
    <xf numFmtId="0" fontId="11" fillId="0" borderId="4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7" fillId="0" borderId="0" xfId="0" applyFont="1" applyAlignment="1">
      <alignment horizontal="center"/>
    </xf>
    <xf numFmtId="0" fontId="11" fillId="0" borderId="0" xfId="0" applyFont="1" applyAlignment="1">
      <alignment horizontal="center"/>
    </xf>
    <xf numFmtId="1" fontId="7" fillId="0" borderId="5"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3" fillId="0" borderId="6" xfId="15" applyNumberFormat="1" applyFont="1" applyFill="1" applyBorder="1" applyAlignment="1">
      <alignment horizontal="center" vertical="center" textRotation="180" wrapText="1"/>
    </xf>
    <xf numFmtId="1" fontId="3" fillId="0" borderId="13" xfId="15" applyNumberFormat="1" applyFont="1" applyFill="1" applyBorder="1" applyAlignment="1">
      <alignment horizontal="center" vertical="center" textRotation="180" wrapText="1"/>
    </xf>
    <xf numFmtId="1" fontId="3" fillId="0" borderId="10" xfId="15" applyNumberFormat="1" applyFont="1" applyFill="1" applyBorder="1" applyAlignment="1">
      <alignment horizontal="center" vertical="center" textRotation="180" wrapText="1"/>
    </xf>
    <xf numFmtId="1" fontId="13" fillId="0" borderId="6" xfId="15" applyNumberFormat="1" applyFont="1" applyFill="1" applyBorder="1" applyAlignment="1">
      <alignment horizontal="center" vertical="center" textRotation="180" wrapText="1"/>
    </xf>
    <xf numFmtId="1" fontId="13" fillId="0" borderId="13" xfId="15" applyNumberFormat="1" applyFont="1" applyFill="1" applyBorder="1" applyAlignment="1">
      <alignment horizontal="center" vertical="center" textRotation="180" wrapText="1"/>
    </xf>
    <xf numFmtId="1" fontId="13" fillId="0" borderId="10" xfId="15" applyNumberFormat="1" applyFont="1" applyFill="1" applyBorder="1" applyAlignment="1">
      <alignment horizontal="center" vertical="center" textRotation="180" wrapText="1"/>
    </xf>
    <xf numFmtId="1" fontId="13" fillId="0" borderId="17" xfId="15" applyNumberFormat="1" applyFont="1" applyFill="1" applyBorder="1" applyAlignment="1">
      <alignment horizontal="center" vertical="center" textRotation="180" wrapText="1"/>
    </xf>
    <xf numFmtId="165" fontId="3" fillId="0" borderId="6" xfId="15" applyFont="1" applyFill="1" applyBorder="1" applyAlignment="1">
      <alignment horizontal="center" vertical="center" textRotation="180" wrapText="1"/>
    </xf>
    <xf numFmtId="165" fontId="3" fillId="0" borderId="13" xfId="15" applyFont="1" applyFill="1" applyBorder="1" applyAlignment="1">
      <alignment horizontal="center" vertical="center" textRotation="180" wrapText="1"/>
    </xf>
    <xf numFmtId="165" fontId="3" fillId="0" borderId="10" xfId="15" applyFont="1" applyFill="1" applyBorder="1" applyAlignment="1">
      <alignment horizontal="center" vertical="center" textRotation="180" wrapText="1"/>
    </xf>
    <xf numFmtId="165" fontId="13" fillId="0" borderId="6" xfId="15" applyFont="1" applyFill="1" applyBorder="1" applyAlignment="1">
      <alignment horizontal="center" vertical="center" textRotation="180" wrapText="1"/>
    </xf>
    <xf numFmtId="165" fontId="13" fillId="0" borderId="13" xfId="15" applyFont="1" applyFill="1" applyBorder="1" applyAlignment="1">
      <alignment horizontal="center" vertical="center" textRotation="180" wrapText="1"/>
    </xf>
    <xf numFmtId="165" fontId="13" fillId="0" borderId="10" xfId="15" applyFont="1" applyFill="1" applyBorder="1" applyAlignment="1">
      <alignment horizontal="center" vertical="center" textRotation="180"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2" borderId="0" xfId="0" applyFont="1" applyFill="1" applyAlignment="1">
      <alignment horizontal="center"/>
    </xf>
    <xf numFmtId="0" fontId="1" fillId="2" borderId="0" xfId="0" applyFont="1" applyFill="1" applyAlignment="1">
      <alignment horizontal="center"/>
    </xf>
    <xf numFmtId="177" fontId="1" fillId="0" borderId="0" xfId="0" applyNumberFormat="1" applyFont="1" applyFill="1" applyAlignment="1">
      <alignment horizontal="center" vertical="center"/>
    </xf>
    <xf numFmtId="9" fontId="1" fillId="0" borderId="13" xfId="5" applyFont="1" applyFill="1" applyBorder="1" applyAlignment="1">
      <alignment horizontal="center" vertical="center" wrapText="1"/>
    </xf>
    <xf numFmtId="9" fontId="1" fillId="0" borderId="10" xfId="5"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8" fontId="1" fillId="0" borderId="6" xfId="0" applyNumberFormat="1" applyFont="1" applyFill="1" applyBorder="1" applyAlignment="1">
      <alignment horizontal="center" vertical="center" wrapText="1"/>
    </xf>
    <xf numFmtId="178" fontId="1" fillId="0" borderId="13"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170" fontId="1" fillId="0" borderId="1" xfId="0" applyNumberFormat="1" applyFont="1" applyFill="1" applyBorder="1" applyAlignment="1">
      <alignment horizontal="justify" vertical="center" wrapText="1"/>
    </xf>
    <xf numFmtId="1" fontId="3" fillId="0" borderId="17" xfId="15" applyNumberFormat="1" applyFont="1" applyFill="1" applyBorder="1" applyAlignment="1">
      <alignment horizontal="center" vertical="center" textRotation="180" wrapText="1"/>
    </xf>
    <xf numFmtId="0" fontId="16" fillId="10" borderId="6"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2"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11" xfId="0" applyFont="1" applyFill="1" applyBorder="1" applyAlignment="1">
      <alignment horizontal="left" vertical="center"/>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6" fillId="10" borderId="1" xfId="0" applyFont="1" applyFill="1" applyBorder="1" applyAlignment="1">
      <alignment horizontal="center" vertical="center" wrapText="1"/>
    </xf>
    <xf numFmtId="3" fontId="16" fillId="10" borderId="1" xfId="0" applyNumberFormat="1" applyFont="1" applyFill="1" applyBorder="1" applyAlignment="1">
      <alignment horizontal="center" vertical="center" wrapText="1"/>
    </xf>
    <xf numFmtId="9" fontId="16" fillId="10" borderId="1" xfId="3" applyFont="1" applyFill="1" applyBorder="1" applyAlignment="1">
      <alignment horizontal="center" vertical="center" wrapText="1"/>
    </xf>
    <xf numFmtId="9" fontId="16" fillId="10" borderId="6" xfId="3" applyFont="1" applyFill="1" applyBorder="1" applyAlignment="1">
      <alignment horizontal="center" vertical="center" wrapText="1"/>
    </xf>
    <xf numFmtId="177" fontId="3" fillId="3" borderId="4" xfId="0" applyNumberFormat="1" applyFont="1" applyFill="1" applyBorder="1" applyAlignment="1">
      <alignment horizontal="center" vertical="center" wrapText="1"/>
    </xf>
    <xf numFmtId="177" fontId="3" fillId="3" borderId="12"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wrapText="1"/>
    </xf>
    <xf numFmtId="177" fontId="3" fillId="3" borderId="8" xfId="0" applyNumberFormat="1" applyFont="1" applyFill="1" applyBorder="1" applyAlignment="1">
      <alignment horizontal="center" vertical="center" wrapText="1"/>
    </xf>
    <xf numFmtId="177" fontId="3" fillId="3" borderId="2" xfId="0" applyNumberFormat="1" applyFont="1" applyFill="1" applyBorder="1" applyAlignment="1">
      <alignment horizontal="center" vertical="center" wrapText="1"/>
    </xf>
    <xf numFmtId="177" fontId="3" fillId="3" borderId="9" xfId="0" applyNumberFormat="1" applyFont="1" applyFill="1" applyBorder="1" applyAlignment="1">
      <alignment horizontal="center" vertical="center" wrapText="1"/>
    </xf>
    <xf numFmtId="177" fontId="3" fillId="3" borderId="6" xfId="0" applyNumberFormat="1" applyFont="1" applyFill="1" applyBorder="1" applyAlignment="1">
      <alignment vertical="center" wrapText="1"/>
    </xf>
    <xf numFmtId="177" fontId="3" fillId="3" borderId="13" xfId="0" applyNumberFormat="1" applyFont="1" applyFill="1" applyBorder="1" applyAlignment="1">
      <alignment vertical="center" wrapText="1"/>
    </xf>
    <xf numFmtId="177" fontId="3" fillId="3" borderId="10" xfId="0" applyNumberFormat="1" applyFont="1" applyFill="1" applyBorder="1" applyAlignment="1">
      <alignment vertical="center" wrapText="1"/>
    </xf>
    <xf numFmtId="3" fontId="3" fillId="3" borderId="6"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167" fontId="3" fillId="3" borderId="23" xfId="9" applyFont="1" applyFill="1" applyBorder="1" applyAlignment="1">
      <alignment horizontal="center" vertical="center"/>
    </xf>
    <xf numFmtId="167" fontId="3" fillId="3" borderId="24" xfId="9" applyFont="1" applyFill="1" applyBorder="1" applyAlignment="1">
      <alignment horizontal="center" vertical="center"/>
    </xf>
    <xf numFmtId="167" fontId="3" fillId="3" borderId="25" xfId="9" applyFont="1" applyFill="1" applyBorder="1" applyAlignment="1">
      <alignment horizontal="center" vertical="center"/>
    </xf>
    <xf numFmtId="169" fontId="3" fillId="3" borderId="1"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13" borderId="52" xfId="0" applyFont="1" applyFill="1" applyBorder="1" applyAlignment="1">
      <alignment horizontal="center" vertical="center" wrapText="1"/>
    </xf>
    <xf numFmtId="0" fontId="3" fillId="13" borderId="27" xfId="0" applyFont="1" applyFill="1" applyBorder="1" applyAlignment="1">
      <alignment horizontal="center" vertical="center" wrapText="1"/>
    </xf>
    <xf numFmtId="0" fontId="3" fillId="13" borderId="29"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3" borderId="1" xfId="0" applyFont="1" applyFill="1" applyBorder="1" applyAlignment="1">
      <alignment horizontal="center" vertical="center"/>
    </xf>
    <xf numFmtId="169" fontId="3" fillId="13" borderId="4" xfId="0" applyNumberFormat="1" applyFont="1" applyFill="1" applyBorder="1" applyAlignment="1">
      <alignment horizontal="center" vertical="center" wrapText="1"/>
    </xf>
    <xf numFmtId="169" fontId="3" fillId="13" borderId="5" xfId="0" applyNumberFormat="1" applyFont="1" applyFill="1" applyBorder="1" applyAlignment="1">
      <alignment horizontal="center" vertical="center" wrapText="1"/>
    </xf>
    <xf numFmtId="169" fontId="3" fillId="13" borderId="8" xfId="0" applyNumberFormat="1" applyFont="1" applyFill="1" applyBorder="1" applyAlignment="1">
      <alignment horizontal="center" vertical="center" wrapText="1"/>
    </xf>
    <xf numFmtId="169" fontId="3" fillId="13" borderId="9" xfId="0" applyNumberFormat="1" applyFont="1" applyFill="1" applyBorder="1" applyAlignment="1">
      <alignment horizontal="center" vertical="center" wrapText="1"/>
    </xf>
    <xf numFmtId="3" fontId="3" fillId="13" borderId="33"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49" fontId="3" fillId="13" borderId="1" xfId="0" applyNumberFormat="1"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3" fillId="11" borderId="11" xfId="0" applyFont="1" applyFill="1" applyBorder="1" applyAlignment="1">
      <alignment horizontal="left" vertical="center"/>
    </xf>
    <xf numFmtId="0" fontId="3" fillId="13" borderId="7" xfId="0" applyFont="1" applyFill="1" applyBorder="1" applyAlignment="1">
      <alignment horizontal="center" vertical="center"/>
    </xf>
    <xf numFmtId="0" fontId="3" fillId="13" borderId="11" xfId="0" applyFont="1" applyFill="1" applyBorder="1" applyAlignment="1">
      <alignment horizontal="center" vertical="center"/>
    </xf>
    <xf numFmtId="0" fontId="3" fillId="13" borderId="3" xfId="0" applyFont="1" applyFill="1" applyBorder="1" applyAlignment="1">
      <alignment horizontal="center" vertical="center"/>
    </xf>
    <xf numFmtId="0" fontId="1" fillId="2" borderId="6" xfId="0" applyFont="1" applyFill="1" applyBorder="1" applyAlignment="1">
      <alignment horizontal="left" vertical="center" textRotation="180" wrapText="1"/>
    </xf>
    <xf numFmtId="0" fontId="1" fillId="2" borderId="13" xfId="0" applyFont="1" applyFill="1" applyBorder="1" applyAlignment="1">
      <alignment horizontal="left" vertical="center" textRotation="180" wrapText="1"/>
    </xf>
    <xf numFmtId="0" fontId="1" fillId="2" borderId="10" xfId="0" applyFont="1" applyFill="1" applyBorder="1" applyAlignment="1">
      <alignment horizontal="left" vertical="center" textRotation="180" wrapText="1"/>
    </xf>
    <xf numFmtId="0" fontId="12" fillId="2" borderId="6" xfId="0" applyFont="1" applyFill="1" applyBorder="1" applyAlignment="1">
      <alignment horizontal="left" vertical="center" textRotation="180" wrapText="1"/>
    </xf>
    <xf numFmtId="0" fontId="12" fillId="2" borderId="13" xfId="0" applyFont="1" applyFill="1" applyBorder="1" applyAlignment="1">
      <alignment horizontal="left" vertical="center" textRotation="180" wrapText="1"/>
    </xf>
    <xf numFmtId="0" fontId="12" fillId="2" borderId="10" xfId="0" applyFont="1" applyFill="1" applyBorder="1" applyAlignment="1">
      <alignment horizontal="left" vertical="center" textRotation="180" wrapText="1"/>
    </xf>
    <xf numFmtId="49" fontId="1" fillId="2" borderId="6" xfId="0" applyNumberFormat="1" applyFont="1" applyFill="1" applyBorder="1" applyAlignment="1">
      <alignment horizontal="left" vertical="center" textRotation="180" wrapText="1"/>
    </xf>
    <xf numFmtId="49" fontId="1" fillId="2" borderId="13" xfId="0" applyNumberFormat="1" applyFont="1" applyFill="1" applyBorder="1" applyAlignment="1">
      <alignment horizontal="left" vertical="center" textRotation="180" wrapText="1"/>
    </xf>
    <xf numFmtId="49" fontId="1" fillId="2" borderId="10" xfId="0" applyNumberFormat="1" applyFont="1" applyFill="1" applyBorder="1" applyAlignment="1">
      <alignment horizontal="left" vertical="center" textRotation="180" wrapText="1"/>
    </xf>
    <xf numFmtId="0" fontId="3" fillId="13" borderId="12" xfId="0" applyFont="1" applyFill="1" applyBorder="1" applyAlignment="1">
      <alignment horizontal="center" vertical="center" wrapText="1"/>
    </xf>
    <xf numFmtId="0" fontId="3" fillId="13" borderId="2" xfId="0" applyFont="1" applyFill="1" applyBorder="1" applyAlignment="1">
      <alignment horizontal="center" vertical="center" wrapText="1"/>
    </xf>
    <xf numFmtId="1" fontId="3" fillId="13" borderId="6" xfId="0" applyNumberFormat="1" applyFont="1" applyFill="1" applyBorder="1" applyAlignment="1">
      <alignment horizontal="center" vertical="center" wrapText="1"/>
    </xf>
    <xf numFmtId="1" fontId="3" fillId="13" borderId="13" xfId="0" applyNumberFormat="1" applyFont="1" applyFill="1" applyBorder="1" applyAlignment="1">
      <alignment horizontal="center" vertical="center" wrapText="1"/>
    </xf>
    <xf numFmtId="1" fontId="3" fillId="13" borderId="10" xfId="0" applyNumberFormat="1" applyFont="1" applyFill="1" applyBorder="1" applyAlignment="1">
      <alignment horizontal="center" vertical="center" wrapText="1"/>
    </xf>
    <xf numFmtId="0" fontId="9" fillId="14" borderId="1" xfId="0" applyFont="1" applyFill="1" applyBorder="1" applyAlignment="1">
      <alignment horizontal="center" vertical="center" wrapText="1"/>
    </xf>
    <xf numFmtId="3" fontId="3" fillId="14" borderId="1" xfId="0" applyNumberFormat="1" applyFont="1" applyFill="1" applyBorder="1" applyAlignment="1">
      <alignment horizontal="center" vertical="center" wrapText="1"/>
    </xf>
    <xf numFmtId="0" fontId="3" fillId="14" borderId="1" xfId="0" applyFont="1" applyFill="1" applyBorder="1" applyAlignment="1">
      <alignment horizontal="center" vertical="center" wrapText="1"/>
    </xf>
    <xf numFmtId="9" fontId="9" fillId="14" borderId="1" xfId="3" applyFont="1" applyFill="1" applyBorder="1" applyAlignment="1">
      <alignment horizontal="center" vertical="center" wrapText="1"/>
    </xf>
    <xf numFmtId="9" fontId="9" fillId="14" borderId="6" xfId="3" applyFont="1" applyFill="1" applyBorder="1" applyAlignment="1">
      <alignment horizontal="center" vertical="center" wrapText="1"/>
    </xf>
    <xf numFmtId="169" fontId="1" fillId="2" borderId="6" xfId="0" applyNumberFormat="1" applyFont="1" applyFill="1" applyBorder="1" applyAlignment="1">
      <alignment horizontal="center" vertical="center" wrapText="1"/>
    </xf>
    <xf numFmtId="169" fontId="1" fillId="2" borderId="13" xfId="0" applyNumberFormat="1" applyFont="1" applyFill="1" applyBorder="1" applyAlignment="1">
      <alignment horizontal="center" vertical="center" wrapText="1"/>
    </xf>
    <xf numFmtId="169" fontId="1" fillId="2" borderId="10" xfId="0" applyNumberFormat="1" applyFont="1" applyFill="1" applyBorder="1" applyAlignment="1">
      <alignment horizontal="center" vertical="center" wrapText="1"/>
    </xf>
    <xf numFmtId="3" fontId="1" fillId="2" borderId="42"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1" fontId="1" fillId="2" borderId="6"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0" borderId="36" xfId="0" applyFont="1" applyFill="1" applyBorder="1" applyAlignment="1">
      <alignment horizontal="left" vertical="center" wrapText="1"/>
    </xf>
    <xf numFmtId="0" fontId="3" fillId="11" borderId="12" xfId="0" applyFont="1" applyFill="1" applyBorder="1" applyAlignment="1">
      <alignment horizontal="left" vertical="center"/>
    </xf>
    <xf numFmtId="0" fontId="3" fillId="7" borderId="12" xfId="0" applyFont="1" applyFill="1" applyBorder="1" applyAlignment="1">
      <alignment horizontal="left" vertical="center"/>
    </xf>
    <xf numFmtId="0" fontId="3" fillId="7" borderId="11" xfId="0" applyFont="1" applyFill="1" applyBorder="1" applyAlignment="1">
      <alignment horizontal="left" vertical="center"/>
    </xf>
    <xf numFmtId="0" fontId="3" fillId="2" borderId="36" xfId="0" applyFont="1" applyFill="1" applyBorder="1" applyAlignment="1">
      <alignment horizontal="center" vertical="center" wrapText="1"/>
    </xf>
    <xf numFmtId="0" fontId="3" fillId="2" borderId="46" xfId="0" applyFont="1" applyFill="1" applyBorder="1" applyAlignment="1">
      <alignment horizontal="center" vertical="center" wrapText="1"/>
    </xf>
    <xf numFmtId="9" fontId="1" fillId="2" borderId="6" xfId="5" applyFont="1" applyFill="1" applyBorder="1" applyAlignment="1">
      <alignment horizontal="center" vertical="center" wrapText="1"/>
    </xf>
    <xf numFmtId="9" fontId="1" fillId="2" borderId="10" xfId="5" applyFont="1" applyFill="1" applyBorder="1" applyAlignment="1">
      <alignment horizontal="center" vertical="center" wrapText="1"/>
    </xf>
    <xf numFmtId="9" fontId="12" fillId="2" borderId="6" xfId="5" applyFont="1" applyFill="1" applyBorder="1" applyAlignment="1">
      <alignment horizontal="center" vertical="center" wrapText="1"/>
    </xf>
    <xf numFmtId="9" fontId="12" fillId="2" borderId="10" xfId="5" applyFont="1" applyFill="1" applyBorder="1" applyAlignment="1">
      <alignment horizontal="center" vertical="center" wrapText="1"/>
    </xf>
    <xf numFmtId="3" fontId="1" fillId="2" borderId="6" xfId="0" applyNumberFormat="1" applyFont="1" applyFill="1" applyBorder="1" applyAlignment="1">
      <alignment horizontal="justify" vertical="center" wrapText="1"/>
    </xf>
    <xf numFmtId="3" fontId="1" fillId="2" borderId="10" xfId="0" applyNumberFormat="1" applyFont="1" applyFill="1" applyBorder="1" applyAlignment="1">
      <alignment horizontal="justify" vertical="center" wrapText="1"/>
    </xf>
    <xf numFmtId="3" fontId="1" fillId="2" borderId="6"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10" fontId="1" fillId="0" borderId="6" xfId="5" applyNumberFormat="1" applyFont="1" applyFill="1" applyBorder="1" applyAlignment="1">
      <alignment horizontal="center" vertical="center" wrapText="1"/>
    </xf>
    <xf numFmtId="10" fontId="1" fillId="0" borderId="10" xfId="5" applyNumberFormat="1" applyFont="1" applyFill="1" applyBorder="1" applyAlignment="1">
      <alignment horizontal="center" vertical="center" wrapText="1"/>
    </xf>
    <xf numFmtId="167" fontId="3" fillId="0" borderId="12" xfId="18" applyFont="1" applyBorder="1" applyAlignment="1">
      <alignment horizontal="center" vertical="center"/>
    </xf>
    <xf numFmtId="167" fontId="3" fillId="0" borderId="0" xfId="18" applyFont="1" applyBorder="1" applyAlignment="1">
      <alignment horizontal="center" vertical="center"/>
    </xf>
    <xf numFmtId="167" fontId="3" fillId="0" borderId="2" xfId="18" applyFont="1" applyBorder="1" applyAlignment="1">
      <alignment horizontal="center" vertical="center"/>
    </xf>
    <xf numFmtId="167" fontId="3" fillId="3" borderId="22" xfId="18" applyFont="1" applyFill="1" applyBorder="1" applyAlignment="1">
      <alignment horizontal="center" vertical="center" wrapText="1"/>
    </xf>
    <xf numFmtId="167" fontId="3" fillId="3" borderId="13" xfId="18" applyFont="1" applyFill="1" applyBorder="1" applyAlignment="1">
      <alignment horizontal="center" vertical="center" wrapText="1"/>
    </xf>
    <xf numFmtId="167" fontId="3" fillId="3" borderId="10" xfId="18" applyFont="1" applyFill="1" applyBorder="1" applyAlignment="1">
      <alignment horizontal="center" vertical="center" wrapText="1"/>
    </xf>
    <xf numFmtId="167" fontId="3" fillId="3" borderId="20" xfId="18" applyFont="1" applyFill="1" applyBorder="1" applyAlignment="1">
      <alignment horizontal="center" vertical="center" wrapText="1"/>
    </xf>
    <xf numFmtId="167" fontId="3" fillId="3" borderId="21" xfId="18" applyFont="1" applyFill="1" applyBorder="1" applyAlignment="1">
      <alignment horizontal="center" vertical="center" wrapText="1"/>
    </xf>
    <xf numFmtId="167" fontId="3" fillId="3" borderId="15" xfId="18" applyFont="1" applyFill="1" applyBorder="1" applyAlignment="1">
      <alignment horizontal="center" vertical="center" wrapText="1"/>
    </xf>
    <xf numFmtId="167" fontId="3" fillId="3" borderId="14" xfId="18" applyFont="1" applyFill="1" applyBorder="1" applyAlignment="1">
      <alignment horizontal="center" vertical="center" wrapText="1"/>
    </xf>
    <xf numFmtId="0" fontId="3" fillId="3" borderId="22" xfId="18" applyNumberFormat="1" applyFont="1" applyFill="1" applyBorder="1" applyAlignment="1">
      <alignment horizontal="center" vertical="center" wrapText="1"/>
    </xf>
    <xf numFmtId="0" fontId="3" fillId="3" borderId="13" xfId="18" applyNumberFormat="1" applyFont="1" applyFill="1" applyBorder="1" applyAlignment="1">
      <alignment horizontal="center" vertical="center" wrapText="1"/>
    </xf>
    <xf numFmtId="0" fontId="3" fillId="3" borderId="10" xfId="18" applyNumberFormat="1" applyFont="1" applyFill="1" applyBorder="1" applyAlignment="1">
      <alignment horizontal="center" vertical="center" wrapText="1"/>
    </xf>
    <xf numFmtId="167" fontId="3" fillId="3" borderId="19" xfId="18" applyFont="1" applyFill="1" applyBorder="1" applyAlignment="1">
      <alignment horizontal="center" vertical="center" wrapText="1"/>
    </xf>
    <xf numFmtId="167" fontId="3" fillId="3" borderId="27" xfId="18" applyFont="1" applyFill="1" applyBorder="1" applyAlignment="1">
      <alignment horizontal="center" vertical="center" wrapText="1"/>
    </xf>
    <xf numFmtId="167" fontId="3" fillId="3" borderId="8" xfId="18" applyFont="1" applyFill="1" applyBorder="1" applyAlignment="1">
      <alignment horizontal="center" vertical="center" wrapText="1"/>
    </xf>
    <xf numFmtId="167" fontId="3" fillId="3" borderId="9" xfId="18" applyFont="1" applyFill="1" applyBorder="1" applyAlignment="1">
      <alignment horizontal="center" vertical="center" wrapText="1"/>
    </xf>
    <xf numFmtId="169" fontId="3" fillId="3" borderId="1" xfId="18" applyNumberFormat="1" applyFont="1" applyFill="1" applyBorder="1" applyAlignment="1">
      <alignment horizontal="center" vertical="center" wrapText="1"/>
    </xf>
    <xf numFmtId="3" fontId="3" fillId="3" borderId="26" xfId="18" applyNumberFormat="1" applyFont="1" applyFill="1" applyBorder="1" applyAlignment="1">
      <alignment horizontal="center" vertical="center" wrapText="1"/>
    </xf>
    <xf numFmtId="3" fontId="3" fillId="3" borderId="28" xfId="18" applyNumberFormat="1" applyFont="1" applyFill="1" applyBorder="1" applyAlignment="1">
      <alignment horizontal="center" vertical="center" wrapText="1"/>
    </xf>
    <xf numFmtId="3" fontId="3" fillId="3" borderId="30" xfId="18" applyNumberFormat="1" applyFont="1" applyFill="1" applyBorder="1" applyAlignment="1">
      <alignment horizontal="center" vertical="center" wrapText="1"/>
    </xf>
    <xf numFmtId="167" fontId="3" fillId="3" borderId="4" xfId="18" applyFont="1" applyFill="1" applyBorder="1" applyAlignment="1">
      <alignment horizontal="center" vertical="center" wrapText="1"/>
    </xf>
    <xf numFmtId="167" fontId="3" fillId="3" borderId="5" xfId="18" applyFont="1" applyFill="1" applyBorder="1" applyAlignment="1">
      <alignment horizontal="center" vertical="center" wrapText="1"/>
    </xf>
    <xf numFmtId="49" fontId="3" fillId="3" borderId="4" xfId="18" applyNumberFormat="1" applyFont="1" applyFill="1" applyBorder="1" applyAlignment="1">
      <alignment horizontal="center" vertical="center" wrapText="1"/>
    </xf>
    <xf numFmtId="49" fontId="3" fillId="3" borderId="5" xfId="18" applyNumberFormat="1"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167" fontId="3" fillId="3" borderId="1" xfId="18" applyFont="1" applyFill="1" applyBorder="1" applyAlignment="1">
      <alignment horizontal="center" vertical="center" wrapText="1"/>
    </xf>
    <xf numFmtId="0" fontId="3" fillId="10" borderId="1" xfId="0" applyFont="1" applyFill="1" applyBorder="1" applyAlignment="1">
      <alignment horizontal="center" vertical="center" wrapText="1"/>
    </xf>
    <xf numFmtId="1" fontId="1" fillId="2" borderId="36" xfId="18" applyNumberFormat="1" applyFont="1" applyFill="1" applyBorder="1" applyAlignment="1">
      <alignment horizontal="center" vertical="center" wrapText="1"/>
    </xf>
    <xf numFmtId="1" fontId="1" fillId="2" borderId="0" xfId="18" applyNumberFormat="1" applyFont="1" applyFill="1" applyBorder="1" applyAlignment="1">
      <alignment horizontal="center" vertical="center" wrapText="1"/>
    </xf>
    <xf numFmtId="1" fontId="1" fillId="2" borderId="14" xfId="18" applyNumberFormat="1" applyFont="1" applyFill="1" applyBorder="1" applyAlignment="1">
      <alignment horizontal="center" vertical="center" wrapText="1"/>
    </xf>
    <xf numFmtId="1" fontId="1" fillId="2" borderId="46" xfId="18" applyNumberFormat="1" applyFont="1" applyFill="1" applyBorder="1" applyAlignment="1">
      <alignment horizontal="center" vertical="center" wrapText="1"/>
    </xf>
    <xf numFmtId="1" fontId="1" fillId="2" borderId="15" xfId="18" applyNumberFormat="1" applyFont="1" applyFill="1" applyBorder="1" applyAlignment="1">
      <alignment horizontal="center" vertical="center" wrapText="1"/>
    </xf>
    <xf numFmtId="1" fontId="1" fillId="2" borderId="8" xfId="18" applyNumberFormat="1" applyFont="1" applyFill="1" applyBorder="1" applyAlignment="1">
      <alignment horizontal="center" vertical="center" wrapText="1"/>
    </xf>
    <xf numFmtId="1" fontId="1" fillId="2" borderId="2" xfId="18" applyNumberFormat="1" applyFont="1" applyFill="1" applyBorder="1" applyAlignment="1">
      <alignment horizontal="center" vertical="center" wrapText="1"/>
    </xf>
    <xf numFmtId="1" fontId="1" fillId="2" borderId="9" xfId="18" applyNumberFormat="1" applyFont="1" applyFill="1" applyBorder="1" applyAlignment="1">
      <alignment horizontal="center" vertical="center" wrapText="1"/>
    </xf>
    <xf numFmtId="1" fontId="1" fillId="2" borderId="4" xfId="18" applyNumberFormat="1" applyFont="1" applyFill="1" applyBorder="1" applyAlignment="1">
      <alignment horizontal="center" vertical="center" wrapText="1"/>
    </xf>
    <xf numFmtId="1" fontId="1" fillId="2" borderId="12" xfId="18" applyNumberFormat="1" applyFont="1" applyFill="1" applyBorder="1" applyAlignment="1">
      <alignment horizontal="center" vertical="center" wrapText="1"/>
    </xf>
    <xf numFmtId="1" fontId="1" fillId="2" borderId="5" xfId="18" applyNumberFormat="1" applyFont="1" applyFill="1" applyBorder="1" applyAlignment="1">
      <alignment horizontal="center" vertical="center" wrapText="1"/>
    </xf>
    <xf numFmtId="3" fontId="1" fillId="2" borderId="6" xfId="18" applyNumberFormat="1" applyFont="1" applyFill="1" applyBorder="1" applyAlignment="1">
      <alignment horizontal="center" vertical="center" wrapText="1"/>
    </xf>
    <xf numFmtId="3" fontId="1" fillId="2" borderId="10" xfId="18" applyNumberFormat="1" applyFont="1" applyFill="1" applyBorder="1" applyAlignment="1">
      <alignment horizontal="center" vertical="center" wrapText="1"/>
    </xf>
    <xf numFmtId="167" fontId="1" fillId="2" borderId="6" xfId="18" applyFont="1" applyFill="1" applyBorder="1" applyAlignment="1">
      <alignment horizontal="left" vertical="center" wrapText="1"/>
    </xf>
    <xf numFmtId="167" fontId="1" fillId="2" borderId="10" xfId="18" applyFont="1" applyFill="1" applyBorder="1" applyAlignment="1">
      <alignment horizontal="left" vertical="center" wrapText="1"/>
    </xf>
    <xf numFmtId="167" fontId="1" fillId="0" borderId="1" xfId="18" applyFont="1" applyFill="1" applyBorder="1" applyAlignment="1">
      <alignment horizontal="center" vertical="center" wrapText="1"/>
    </xf>
    <xf numFmtId="3" fontId="1" fillId="0" borderId="1" xfId="18" applyNumberFormat="1" applyFont="1" applyBorder="1" applyAlignment="1">
      <alignment horizontal="center" vertical="center"/>
    </xf>
    <xf numFmtId="189" fontId="12" fillId="0" borderId="1" xfId="15" applyNumberFormat="1" applyFont="1" applyFill="1" applyBorder="1" applyAlignment="1">
      <alignment horizontal="center" vertical="center"/>
    </xf>
    <xf numFmtId="167" fontId="1" fillId="2" borderId="6" xfId="18" applyFont="1" applyFill="1" applyBorder="1" applyAlignment="1">
      <alignment horizontal="center" vertical="center" wrapText="1"/>
    </xf>
    <xf numFmtId="167" fontId="1" fillId="2" borderId="13" xfId="18" applyFont="1" applyFill="1" applyBorder="1" applyAlignment="1">
      <alignment horizontal="center" vertical="center" wrapText="1"/>
    </xf>
    <xf numFmtId="167" fontId="1" fillId="2" borderId="10" xfId="18" applyFont="1" applyFill="1" applyBorder="1" applyAlignment="1">
      <alignment horizontal="center" vertical="center" wrapText="1"/>
    </xf>
    <xf numFmtId="3" fontId="1" fillId="2" borderId="13" xfId="18" applyNumberFormat="1" applyFont="1" applyFill="1" applyBorder="1" applyAlignment="1">
      <alignment horizontal="center" vertical="center" wrapText="1"/>
    </xf>
    <xf numFmtId="167" fontId="1" fillId="0" borderId="6" xfId="18" applyFont="1" applyFill="1" applyBorder="1" applyAlignment="1">
      <alignment horizontal="center" vertical="center" wrapText="1"/>
    </xf>
    <xf numFmtId="3" fontId="1" fillId="0" borderId="6" xfId="18" applyNumberFormat="1" applyFont="1" applyBorder="1" applyAlignment="1">
      <alignment horizontal="center" vertical="center"/>
    </xf>
    <xf numFmtId="189" fontId="12" fillId="0" borderId="6" xfId="15" applyNumberFormat="1" applyFont="1" applyFill="1" applyBorder="1" applyAlignment="1">
      <alignment horizontal="center" vertical="center"/>
    </xf>
    <xf numFmtId="189" fontId="12" fillId="0" borderId="10" xfId="15" applyNumberFormat="1" applyFont="1" applyFill="1" applyBorder="1" applyAlignment="1">
      <alignment horizontal="center" vertical="center"/>
    </xf>
    <xf numFmtId="167" fontId="1" fillId="0" borderId="10" xfId="18" applyFont="1" applyFill="1" applyBorder="1" applyAlignment="1">
      <alignment horizontal="center" vertical="center" wrapText="1"/>
    </xf>
    <xf numFmtId="3" fontId="1" fillId="0" borderId="6" xfId="18" applyNumberFormat="1" applyFont="1" applyFill="1" applyBorder="1" applyAlignment="1">
      <alignment horizontal="center" vertical="center"/>
    </xf>
    <xf numFmtId="3" fontId="1" fillId="0" borderId="10" xfId="18" applyNumberFormat="1" applyFont="1" applyFill="1" applyBorder="1" applyAlignment="1">
      <alignment horizontal="center" vertical="center"/>
    </xf>
    <xf numFmtId="3" fontId="1" fillId="0" borderId="10" xfId="18" applyNumberFormat="1" applyFont="1" applyBorder="1" applyAlignment="1">
      <alignment horizontal="center" vertical="center"/>
    </xf>
    <xf numFmtId="9" fontId="1" fillId="0" borderId="6" xfId="18" applyNumberFormat="1" applyFont="1" applyFill="1" applyBorder="1" applyAlignment="1">
      <alignment horizontal="center" vertical="center" wrapText="1"/>
    </xf>
    <xf numFmtId="9" fontId="1" fillId="0" borderId="10" xfId="18" applyNumberFormat="1" applyFont="1" applyFill="1" applyBorder="1" applyAlignment="1">
      <alignment horizontal="center" vertical="center" wrapText="1"/>
    </xf>
    <xf numFmtId="170" fontId="3" fillId="3" borderId="20" xfId="18" applyNumberFormat="1" applyFont="1" applyFill="1" applyBorder="1" applyAlignment="1">
      <alignment horizontal="center" vertical="center" wrapText="1"/>
    </xf>
    <xf numFmtId="170" fontId="3" fillId="3" borderId="35" xfId="18" applyNumberFormat="1" applyFont="1" applyFill="1" applyBorder="1" applyAlignment="1">
      <alignment horizontal="center" vertical="center" wrapText="1"/>
    </xf>
    <xf numFmtId="170" fontId="3" fillId="3" borderId="8" xfId="18" applyNumberFormat="1" applyFont="1" applyFill="1" applyBorder="1" applyAlignment="1">
      <alignment horizontal="center" vertical="center" wrapText="1"/>
    </xf>
    <xf numFmtId="170" fontId="3" fillId="3" borderId="2" xfId="18" applyNumberFormat="1" applyFont="1" applyFill="1" applyBorder="1" applyAlignment="1">
      <alignment horizontal="center" vertical="center" wrapText="1"/>
    </xf>
    <xf numFmtId="170" fontId="3" fillId="3" borderId="1" xfId="18" applyNumberFormat="1" applyFont="1" applyFill="1" applyBorder="1" applyAlignment="1">
      <alignment horizontal="center" vertical="center" wrapText="1"/>
    </xf>
    <xf numFmtId="170" fontId="3" fillId="3" borderId="22" xfId="18" applyNumberFormat="1" applyFont="1" applyFill="1" applyBorder="1" applyAlignment="1">
      <alignment horizontal="center" vertical="center" wrapText="1"/>
    </xf>
    <xf numFmtId="170" fontId="3" fillId="3" borderId="13" xfId="18" applyNumberFormat="1" applyFont="1" applyFill="1" applyBorder="1" applyAlignment="1">
      <alignment horizontal="center" vertical="center" wrapText="1"/>
    </xf>
    <xf numFmtId="170" fontId="3" fillId="3" borderId="10" xfId="18" applyNumberFormat="1" applyFont="1" applyFill="1" applyBorder="1" applyAlignment="1">
      <alignment horizontal="center" vertical="center" wrapText="1"/>
    </xf>
    <xf numFmtId="3" fontId="12" fillId="2" borderId="6" xfId="18" applyNumberFormat="1" applyFont="1" applyFill="1" applyBorder="1" applyAlignment="1">
      <alignment horizontal="center" vertical="center" wrapText="1"/>
    </xf>
    <xf numFmtId="3" fontId="12" fillId="2" borderId="13" xfId="18" applyNumberFormat="1" applyFont="1" applyFill="1" applyBorder="1" applyAlignment="1">
      <alignment horizontal="center" vertical="center" wrapText="1"/>
    </xf>
    <xf numFmtId="3" fontId="12" fillId="2" borderId="10" xfId="18" applyNumberFormat="1" applyFont="1" applyFill="1" applyBorder="1" applyAlignment="1">
      <alignment horizontal="center" vertical="center" wrapText="1"/>
    </xf>
    <xf numFmtId="0" fontId="1" fillId="2" borderId="6" xfId="18" applyNumberFormat="1" applyFont="1" applyFill="1" applyBorder="1" applyAlignment="1">
      <alignment horizontal="center" vertical="center" wrapText="1"/>
    </xf>
    <xf numFmtId="0" fontId="1" fillId="2" borderId="13" xfId="18" applyNumberFormat="1" applyFont="1" applyFill="1" applyBorder="1" applyAlignment="1">
      <alignment horizontal="center" vertical="center" wrapText="1"/>
    </xf>
    <xf numFmtId="167" fontId="1" fillId="2" borderId="1" xfId="18" applyFont="1" applyFill="1" applyBorder="1" applyAlignment="1">
      <alignment horizontal="justify" vertical="center" wrapText="1"/>
    </xf>
    <xf numFmtId="167" fontId="1" fillId="2" borderId="6" xfId="18" applyFont="1" applyFill="1" applyBorder="1" applyAlignment="1">
      <alignment horizontal="justify" vertical="center" wrapText="1"/>
    </xf>
    <xf numFmtId="9" fontId="1" fillId="2" borderId="1" xfId="5" applyFont="1" applyFill="1" applyBorder="1" applyAlignment="1">
      <alignment horizontal="center" vertical="center" wrapText="1"/>
    </xf>
    <xf numFmtId="170" fontId="1" fillId="2" borderId="6" xfId="18" applyNumberFormat="1" applyFont="1" applyFill="1" applyBorder="1" applyAlignment="1">
      <alignment horizontal="center" vertical="center"/>
    </xf>
    <xf numFmtId="170" fontId="1" fillId="2" borderId="13" xfId="18" applyNumberFormat="1" applyFont="1" applyFill="1" applyBorder="1" applyAlignment="1">
      <alignment horizontal="center" vertical="center"/>
    </xf>
    <xf numFmtId="170" fontId="1" fillId="2" borderId="10" xfId="18" applyNumberFormat="1" applyFont="1" applyFill="1" applyBorder="1" applyAlignment="1">
      <alignment horizontal="center" vertical="center"/>
    </xf>
    <xf numFmtId="167" fontId="1" fillId="2" borderId="1" xfId="18" applyFont="1" applyFill="1" applyBorder="1" applyAlignment="1">
      <alignment horizontal="left" vertical="center" wrapText="1"/>
    </xf>
    <xf numFmtId="167" fontId="1" fillId="2" borderId="13" xfId="18" applyFont="1" applyFill="1" applyBorder="1" applyAlignment="1">
      <alignment horizontal="left" vertical="center" wrapText="1"/>
    </xf>
    <xf numFmtId="3" fontId="1" fillId="2" borderId="6" xfId="18" applyNumberFormat="1" applyFont="1" applyFill="1" applyBorder="1" applyAlignment="1">
      <alignment horizontal="center" vertical="center" textRotation="180" wrapText="1"/>
    </xf>
    <xf numFmtId="3" fontId="1" fillId="2" borderId="13" xfId="18" applyNumberFormat="1" applyFont="1" applyFill="1" applyBorder="1" applyAlignment="1">
      <alignment horizontal="center" vertical="center" textRotation="180" wrapText="1"/>
    </xf>
    <xf numFmtId="3" fontId="1" fillId="2" borderId="10" xfId="18" applyNumberFormat="1" applyFont="1" applyFill="1" applyBorder="1" applyAlignment="1">
      <alignment horizontal="center" vertical="center" textRotation="180" wrapText="1"/>
    </xf>
    <xf numFmtId="3" fontId="12" fillId="2" borderId="6" xfId="18" applyNumberFormat="1" applyFont="1" applyFill="1" applyBorder="1" applyAlignment="1">
      <alignment horizontal="center" vertical="center" textRotation="180" wrapText="1"/>
    </xf>
    <xf numFmtId="3" fontId="12" fillId="2" borderId="13" xfId="18" applyNumberFormat="1" applyFont="1" applyFill="1" applyBorder="1" applyAlignment="1">
      <alignment horizontal="center" vertical="center" textRotation="180" wrapText="1"/>
    </xf>
    <xf numFmtId="3" fontId="12" fillId="2" borderId="10" xfId="18" applyNumberFormat="1" applyFont="1" applyFill="1" applyBorder="1" applyAlignment="1">
      <alignment horizontal="center" vertical="center" textRotation="180" wrapText="1"/>
    </xf>
    <xf numFmtId="3" fontId="1" fillId="2" borderId="42" xfId="18" applyNumberFormat="1" applyFont="1" applyFill="1" applyBorder="1" applyAlignment="1">
      <alignment horizontal="center" vertical="center" wrapText="1"/>
    </xf>
    <xf numFmtId="3" fontId="1" fillId="2" borderId="28" xfId="18" applyNumberFormat="1" applyFont="1" applyFill="1" applyBorder="1" applyAlignment="1">
      <alignment horizontal="center" vertical="center" wrapText="1"/>
    </xf>
    <xf numFmtId="3" fontId="1" fillId="2" borderId="30" xfId="18" applyNumberFormat="1" applyFont="1" applyFill="1" applyBorder="1" applyAlignment="1">
      <alignment horizontal="center" vertical="center" wrapText="1"/>
    </xf>
    <xf numFmtId="198" fontId="12" fillId="0" borderId="6" xfId="15" applyNumberFormat="1" applyFont="1" applyFill="1" applyBorder="1" applyAlignment="1">
      <alignment horizontal="center" vertical="center"/>
    </xf>
    <xf numFmtId="198" fontId="12" fillId="0" borderId="10" xfId="15" applyNumberFormat="1" applyFont="1" applyFill="1" applyBorder="1" applyAlignment="1">
      <alignment horizontal="center" vertical="center"/>
    </xf>
    <xf numFmtId="167" fontId="1" fillId="0" borderId="13" xfId="18" applyFont="1" applyFill="1" applyBorder="1" applyAlignment="1">
      <alignment horizontal="center" vertical="center" wrapText="1"/>
    </xf>
    <xf numFmtId="170" fontId="1" fillId="2" borderId="6" xfId="18" applyNumberFormat="1" applyFont="1" applyFill="1" applyBorder="1" applyAlignment="1">
      <alignment horizontal="center" vertical="center" wrapText="1"/>
    </xf>
    <xf numFmtId="170" fontId="1" fillId="2" borderId="13" xfId="18" applyNumberFormat="1" applyFont="1" applyFill="1" applyBorder="1" applyAlignment="1">
      <alignment horizontal="center" vertical="center" wrapText="1"/>
    </xf>
    <xf numFmtId="170" fontId="1" fillId="2" borderId="10" xfId="18" applyNumberFormat="1" applyFont="1" applyFill="1" applyBorder="1" applyAlignment="1">
      <alignment horizontal="center" vertical="center" wrapText="1"/>
    </xf>
    <xf numFmtId="10" fontId="1" fillId="2" borderId="6" xfId="18" applyNumberFormat="1" applyFont="1" applyFill="1" applyBorder="1" applyAlignment="1">
      <alignment horizontal="center" vertical="center" wrapText="1"/>
    </xf>
    <xf numFmtId="10" fontId="1" fillId="2" borderId="13" xfId="18" applyNumberFormat="1" applyFont="1" applyFill="1" applyBorder="1" applyAlignment="1">
      <alignment horizontal="center" vertical="center" wrapText="1"/>
    </xf>
    <xf numFmtId="10" fontId="1" fillId="2" borderId="10" xfId="18" applyNumberFormat="1" applyFont="1" applyFill="1" applyBorder="1" applyAlignment="1">
      <alignment horizontal="center" vertical="center" wrapText="1"/>
    </xf>
    <xf numFmtId="49" fontId="1" fillId="2" borderId="6" xfId="18" applyNumberFormat="1" applyFont="1" applyFill="1" applyBorder="1" applyAlignment="1">
      <alignment horizontal="center" vertical="center" textRotation="180" wrapText="1"/>
    </xf>
    <xf numFmtId="49" fontId="1" fillId="2" borderId="13" xfId="18" applyNumberFormat="1" applyFont="1" applyFill="1" applyBorder="1" applyAlignment="1">
      <alignment horizontal="center" vertical="center" textRotation="180" wrapText="1"/>
    </xf>
    <xf numFmtId="49" fontId="1" fillId="2" borderId="10" xfId="18" applyNumberFormat="1" applyFont="1" applyFill="1" applyBorder="1" applyAlignment="1">
      <alignment horizontal="center" vertical="center" textRotation="180" wrapText="1"/>
    </xf>
    <xf numFmtId="167" fontId="1" fillId="2" borderId="1" xfId="18" applyFont="1" applyFill="1" applyBorder="1" applyAlignment="1">
      <alignment horizontal="center" vertical="center" wrapText="1"/>
    </xf>
    <xf numFmtId="0" fontId="1" fillId="2" borderId="10" xfId="18" applyNumberFormat="1" applyFont="1" applyFill="1" applyBorder="1" applyAlignment="1">
      <alignment horizontal="center" vertical="center" wrapText="1"/>
    </xf>
    <xf numFmtId="1" fontId="1" fillId="2" borderId="6" xfId="18" applyNumberFormat="1" applyFont="1" applyFill="1" applyBorder="1" applyAlignment="1">
      <alignment horizontal="center" vertical="center" textRotation="180" wrapText="1"/>
    </xf>
    <xf numFmtId="1" fontId="1" fillId="2" borderId="13" xfId="18" applyNumberFormat="1" applyFont="1" applyFill="1" applyBorder="1" applyAlignment="1">
      <alignment horizontal="center" vertical="center" textRotation="180" wrapText="1"/>
    </xf>
    <xf numFmtId="1" fontId="1" fillId="2" borderId="10" xfId="18" applyNumberFormat="1" applyFont="1" applyFill="1" applyBorder="1" applyAlignment="1">
      <alignment horizontal="center" vertical="center" textRotation="180" wrapText="1"/>
    </xf>
    <xf numFmtId="1" fontId="12" fillId="2" borderId="6" xfId="18" applyNumberFormat="1" applyFont="1" applyFill="1" applyBorder="1" applyAlignment="1">
      <alignment horizontal="center" vertical="center" textRotation="180" wrapText="1"/>
    </xf>
    <xf numFmtId="1" fontId="12" fillId="2" borderId="13" xfId="18" applyNumberFormat="1" applyFont="1" applyFill="1" applyBorder="1" applyAlignment="1">
      <alignment horizontal="center" vertical="center" textRotation="180" wrapText="1"/>
    </xf>
    <xf numFmtId="1" fontId="12" fillId="2" borderId="10" xfId="18" applyNumberFormat="1" applyFont="1" applyFill="1" applyBorder="1" applyAlignment="1">
      <alignment horizontal="center" vertical="center" textRotation="180" wrapText="1"/>
    </xf>
    <xf numFmtId="9" fontId="1" fillId="2" borderId="6" xfId="18" applyNumberFormat="1" applyFont="1" applyFill="1" applyBorder="1" applyAlignment="1">
      <alignment horizontal="center" vertical="center" wrapText="1"/>
    </xf>
    <xf numFmtId="9" fontId="1" fillId="2" borderId="13" xfId="18" applyNumberFormat="1" applyFont="1" applyFill="1" applyBorder="1" applyAlignment="1">
      <alignment horizontal="center" vertical="center" wrapText="1"/>
    </xf>
    <xf numFmtId="9" fontId="1" fillId="2" borderId="10" xfId="18" applyNumberFormat="1" applyFont="1" applyFill="1" applyBorder="1" applyAlignment="1">
      <alignment horizontal="center" vertical="center" wrapText="1"/>
    </xf>
    <xf numFmtId="1" fontId="7" fillId="2" borderId="6" xfId="6" applyNumberFormat="1" applyFont="1" applyFill="1" applyBorder="1" applyAlignment="1">
      <alignment horizontal="center" vertical="center" wrapText="1"/>
    </xf>
    <xf numFmtId="1" fontId="7" fillId="2" borderId="13" xfId="6" applyNumberFormat="1" applyFont="1" applyFill="1" applyBorder="1" applyAlignment="1">
      <alignment horizontal="center" vertical="center" wrapText="1"/>
    </xf>
    <xf numFmtId="1" fontId="7" fillId="2" borderId="10" xfId="6" applyNumberFormat="1" applyFont="1" applyFill="1" applyBorder="1" applyAlignment="1">
      <alignment horizontal="center" vertical="center" wrapText="1"/>
    </xf>
    <xf numFmtId="1" fontId="1" fillId="2" borderId="6" xfId="18" applyNumberFormat="1" applyFont="1" applyFill="1" applyBorder="1" applyAlignment="1">
      <alignment horizontal="center" vertical="center" wrapText="1"/>
    </xf>
    <xf numFmtId="1" fontId="1" fillId="2" borderId="13" xfId="18" applyNumberFormat="1" applyFont="1" applyFill="1" applyBorder="1" applyAlignment="1">
      <alignment horizontal="center" vertical="center" wrapText="1"/>
    </xf>
    <xf numFmtId="1" fontId="12" fillId="2" borderId="6" xfId="18" applyNumberFormat="1" applyFont="1" applyFill="1" applyBorder="1" applyAlignment="1">
      <alignment horizontal="center" vertical="center" wrapText="1"/>
    </xf>
    <xf numFmtId="1" fontId="12" fillId="2" borderId="13" xfId="18" applyNumberFormat="1" applyFont="1" applyFill="1" applyBorder="1" applyAlignment="1">
      <alignment horizontal="center" vertical="center" wrapText="1"/>
    </xf>
    <xf numFmtId="1" fontId="12" fillId="2" borderId="10" xfId="18" applyNumberFormat="1" applyFont="1" applyFill="1" applyBorder="1" applyAlignment="1">
      <alignment horizontal="center" vertical="center" wrapText="1"/>
    </xf>
    <xf numFmtId="1" fontId="1" fillId="0" borderId="13" xfId="18" applyNumberFormat="1" applyFont="1" applyFill="1" applyBorder="1" applyAlignment="1">
      <alignment horizontal="center" vertical="center"/>
    </xf>
    <xf numFmtId="1" fontId="1" fillId="0" borderId="10" xfId="18" applyNumberFormat="1" applyFont="1" applyFill="1" applyBorder="1" applyAlignment="1">
      <alignment horizontal="center" vertical="center"/>
    </xf>
    <xf numFmtId="9" fontId="1" fillId="2" borderId="13" xfId="5" applyFont="1" applyFill="1" applyBorder="1" applyAlignment="1">
      <alignment horizontal="center" vertical="center" wrapText="1"/>
    </xf>
    <xf numFmtId="42" fontId="1" fillId="2" borderId="13" xfId="18" applyNumberFormat="1" applyFont="1" applyFill="1" applyBorder="1" applyAlignment="1">
      <alignment horizontal="center" vertical="center" wrapText="1"/>
    </xf>
    <xf numFmtId="42" fontId="1" fillId="2" borderId="10" xfId="18" applyNumberFormat="1" applyFont="1" applyFill="1" applyBorder="1" applyAlignment="1">
      <alignment horizontal="center" vertical="center" wrapText="1"/>
    </xf>
    <xf numFmtId="49" fontId="1" fillId="2" borderId="6" xfId="18" applyNumberFormat="1" applyFont="1" applyFill="1" applyBorder="1" applyAlignment="1">
      <alignment horizontal="center" vertical="center" wrapText="1"/>
    </xf>
    <xf numFmtId="49" fontId="1" fillId="2" borderId="13" xfId="18" applyNumberFormat="1" applyFont="1" applyFill="1" applyBorder="1" applyAlignment="1">
      <alignment horizontal="center" vertical="center" wrapText="1"/>
    </xf>
    <xf numFmtId="49" fontId="1" fillId="2" borderId="10" xfId="18" applyNumberFormat="1" applyFont="1" applyFill="1" applyBorder="1" applyAlignment="1">
      <alignment horizontal="center" vertical="center" wrapText="1"/>
    </xf>
    <xf numFmtId="1" fontId="1" fillId="2" borderId="10" xfId="18" applyNumberFormat="1" applyFont="1" applyFill="1" applyBorder="1" applyAlignment="1">
      <alignment horizontal="center" vertical="center" wrapText="1"/>
    </xf>
    <xf numFmtId="3" fontId="1" fillId="2" borderId="1" xfId="18" applyNumberFormat="1" applyFont="1" applyFill="1" applyBorder="1" applyAlignment="1">
      <alignment horizontal="center" vertical="center" wrapText="1"/>
    </xf>
    <xf numFmtId="1" fontId="1" fillId="0" borderId="6" xfId="18" applyNumberFormat="1" applyFont="1" applyFill="1" applyBorder="1" applyAlignment="1">
      <alignment horizontal="center" vertical="center"/>
    </xf>
    <xf numFmtId="0" fontId="1" fillId="2" borderId="6" xfId="18" applyNumberFormat="1" applyFont="1" applyFill="1" applyBorder="1" applyAlignment="1">
      <alignment horizontal="justify" vertical="center" wrapText="1"/>
    </xf>
    <xf numFmtId="0" fontId="1" fillId="2" borderId="13" xfId="18" applyNumberFormat="1" applyFont="1" applyFill="1" applyBorder="1" applyAlignment="1">
      <alignment horizontal="justify" vertical="center" wrapText="1"/>
    </xf>
    <xf numFmtId="9" fontId="1" fillId="2" borderId="1" xfId="5" applyFont="1" applyFill="1" applyBorder="1" applyAlignment="1">
      <alignment horizontal="center" vertical="center"/>
    </xf>
    <xf numFmtId="167" fontId="1" fillId="2" borderId="1" xfId="18" applyFont="1" applyFill="1" applyBorder="1" applyAlignment="1">
      <alignment horizontal="left" vertical="center"/>
    </xf>
    <xf numFmtId="1" fontId="1" fillId="0" borderId="6" xfId="18" applyNumberFormat="1" applyFont="1" applyFill="1" applyBorder="1" applyAlignment="1">
      <alignment horizontal="center" vertical="center" wrapText="1"/>
    </xf>
    <xf numFmtId="1" fontId="1" fillId="0" borderId="10" xfId="18" applyNumberFormat="1" applyFont="1" applyFill="1" applyBorder="1" applyAlignment="1">
      <alignment horizontal="center" vertical="center" wrapText="1"/>
    </xf>
    <xf numFmtId="167" fontId="1" fillId="2" borderId="6" xfId="18" applyFont="1" applyFill="1" applyBorder="1" applyAlignment="1">
      <alignment horizontal="center" vertical="center"/>
    </xf>
    <xf numFmtId="167" fontId="1" fillId="2" borderId="10" xfId="18" applyFont="1" applyFill="1" applyBorder="1" applyAlignment="1">
      <alignment horizontal="center" vertical="center"/>
    </xf>
    <xf numFmtId="1" fontId="1" fillId="0" borderId="1" xfId="18" applyNumberFormat="1" applyFont="1" applyBorder="1" applyAlignment="1">
      <alignment horizontal="center" vertical="center"/>
    </xf>
    <xf numFmtId="1" fontId="12" fillId="0" borderId="6" xfId="18" applyNumberFormat="1" applyFont="1" applyBorder="1" applyAlignment="1">
      <alignment horizontal="center" vertical="center"/>
    </xf>
    <xf numFmtId="1" fontId="12" fillId="0" borderId="13" xfId="18" applyNumberFormat="1" applyFont="1" applyBorder="1" applyAlignment="1">
      <alignment horizontal="center" vertical="center"/>
    </xf>
    <xf numFmtId="1" fontId="12" fillId="0" borderId="10" xfId="18" applyNumberFormat="1" applyFont="1" applyBorder="1" applyAlignment="1">
      <alignment horizontal="center" vertical="center"/>
    </xf>
    <xf numFmtId="170" fontId="1" fillId="2" borderId="1" xfId="18" applyNumberFormat="1" applyFont="1" applyFill="1" applyBorder="1" applyAlignment="1">
      <alignment vertical="center"/>
    </xf>
    <xf numFmtId="170" fontId="12" fillId="2" borderId="1" xfId="18" applyNumberFormat="1" applyFont="1" applyFill="1" applyBorder="1" applyAlignment="1">
      <alignment vertical="center"/>
    </xf>
    <xf numFmtId="0" fontId="1" fillId="2" borderId="6" xfId="18" applyNumberFormat="1" applyFont="1" applyFill="1" applyBorder="1" applyAlignment="1">
      <alignment horizontal="center" vertical="center"/>
    </xf>
    <xf numFmtId="0" fontId="1" fillId="2" borderId="13" xfId="18" applyNumberFormat="1" applyFont="1" applyFill="1" applyBorder="1" applyAlignment="1">
      <alignment horizontal="center" vertical="center"/>
    </xf>
    <xf numFmtId="0" fontId="1" fillId="2" borderId="10" xfId="18" applyNumberFormat="1" applyFont="1" applyFill="1" applyBorder="1" applyAlignment="1">
      <alignment horizontal="center" vertical="center"/>
    </xf>
    <xf numFmtId="3" fontId="1" fillId="2" borderId="6" xfId="18" applyNumberFormat="1" applyFont="1" applyFill="1" applyBorder="1" applyAlignment="1">
      <alignment horizontal="justify" vertical="center"/>
    </xf>
    <xf numFmtId="3" fontId="1" fillId="2" borderId="13" xfId="18" applyNumberFormat="1" applyFont="1" applyFill="1" applyBorder="1" applyAlignment="1">
      <alignment horizontal="justify" vertical="center"/>
    </xf>
    <xf numFmtId="3" fontId="1" fillId="2" borderId="10" xfId="18" applyNumberFormat="1" applyFont="1" applyFill="1" applyBorder="1" applyAlignment="1">
      <alignment horizontal="justify" vertical="center"/>
    </xf>
    <xf numFmtId="1" fontId="1" fillId="0" borderId="6" xfId="18" applyNumberFormat="1" applyFont="1" applyBorder="1" applyAlignment="1">
      <alignment horizontal="center" vertical="center"/>
    </xf>
    <xf numFmtId="1" fontId="1" fillId="0" borderId="13" xfId="18" applyNumberFormat="1" applyFont="1" applyBorder="1" applyAlignment="1">
      <alignment horizontal="center" vertical="center"/>
    </xf>
    <xf numFmtId="1" fontId="1" fillId="0" borderId="10" xfId="18" applyNumberFormat="1" applyFont="1" applyBorder="1" applyAlignment="1">
      <alignment horizontal="center" vertical="center"/>
    </xf>
    <xf numFmtId="169" fontId="1" fillId="0" borderId="6" xfId="18" applyNumberFormat="1" applyFont="1" applyFill="1" applyBorder="1" applyAlignment="1">
      <alignment horizontal="center" vertical="center"/>
    </xf>
    <xf numFmtId="169" fontId="1" fillId="0" borderId="10" xfId="18" applyNumberFormat="1" applyFont="1" applyFill="1" applyBorder="1" applyAlignment="1">
      <alignment horizontal="center" vertical="center"/>
    </xf>
    <xf numFmtId="169" fontId="12" fillId="0" borderId="6" xfId="18" applyNumberFormat="1" applyFont="1" applyFill="1" applyBorder="1" applyAlignment="1">
      <alignment horizontal="center" vertical="center"/>
    </xf>
    <xf numFmtId="169" fontId="12" fillId="0" borderId="10" xfId="18" applyNumberFormat="1" applyFont="1" applyFill="1" applyBorder="1" applyAlignment="1">
      <alignment horizontal="center" vertical="center"/>
    </xf>
    <xf numFmtId="169" fontId="1" fillId="0" borderId="6" xfId="18" applyNumberFormat="1" applyFont="1" applyBorder="1" applyAlignment="1">
      <alignment horizontal="center" vertical="center"/>
    </xf>
    <xf numFmtId="169" fontId="1" fillId="0" borderId="10" xfId="18" applyNumberFormat="1" applyFont="1" applyBorder="1" applyAlignment="1">
      <alignment horizontal="center" vertical="center"/>
    </xf>
    <xf numFmtId="169" fontId="12" fillId="0" borderId="6" xfId="18" applyNumberFormat="1" applyFont="1" applyBorder="1" applyAlignment="1">
      <alignment horizontal="center" vertical="center"/>
    </xf>
    <xf numFmtId="169" fontId="12" fillId="0" borderId="10" xfId="18" applyNumberFormat="1" applyFont="1" applyBorder="1" applyAlignment="1">
      <alignment horizontal="center" vertical="center"/>
    </xf>
    <xf numFmtId="1" fontId="1" fillId="0" borderId="13" xfId="18" applyNumberFormat="1" applyFont="1" applyFill="1" applyBorder="1" applyAlignment="1">
      <alignment horizontal="center" vertical="center" wrapText="1"/>
    </xf>
    <xf numFmtId="167" fontId="1" fillId="2" borderId="13" xfId="18" applyFont="1" applyFill="1" applyBorder="1" applyAlignment="1">
      <alignment horizontal="center" vertical="center"/>
    </xf>
    <xf numFmtId="3" fontId="1" fillId="0" borderId="13" xfId="18" applyNumberFormat="1" applyFont="1" applyFill="1" applyBorder="1" applyAlignment="1">
      <alignment horizontal="center" vertical="center"/>
    </xf>
    <xf numFmtId="189" fontId="12" fillId="0" borderId="13" xfId="15" applyNumberFormat="1" applyFont="1" applyFill="1" applyBorder="1" applyAlignment="1">
      <alignment horizontal="center" vertical="center"/>
    </xf>
    <xf numFmtId="9" fontId="1" fillId="2" borderId="6" xfId="5" applyFont="1" applyFill="1" applyBorder="1" applyAlignment="1">
      <alignment horizontal="center" vertical="center"/>
    </xf>
    <xf numFmtId="9" fontId="1" fillId="2" borderId="13" xfId="5" applyFont="1" applyFill="1" applyBorder="1" applyAlignment="1">
      <alignment horizontal="center" vertical="center"/>
    </xf>
    <xf numFmtId="9" fontId="1" fillId="2" borderId="10" xfId="5" applyFont="1" applyFill="1" applyBorder="1" applyAlignment="1">
      <alignment horizontal="center" vertical="center"/>
    </xf>
    <xf numFmtId="9" fontId="1" fillId="0" borderId="6" xfId="18" applyNumberFormat="1" applyFont="1" applyBorder="1" applyAlignment="1">
      <alignment horizontal="center" vertical="center"/>
    </xf>
    <xf numFmtId="9" fontId="1" fillId="0" borderId="13" xfId="18" applyNumberFormat="1" applyFont="1" applyBorder="1" applyAlignment="1">
      <alignment horizontal="center" vertical="center"/>
    </xf>
    <xf numFmtId="9" fontId="1" fillId="0" borderId="10" xfId="18" applyNumberFormat="1" applyFont="1" applyBorder="1" applyAlignment="1">
      <alignment horizontal="center" vertical="center"/>
    </xf>
    <xf numFmtId="1" fontId="1" fillId="0" borderId="6" xfId="18" applyNumberFormat="1" applyFont="1" applyBorder="1" applyAlignment="1">
      <alignment horizontal="center" vertical="center" wrapText="1"/>
    </xf>
    <xf numFmtId="1" fontId="1" fillId="0" borderId="13" xfId="18" applyNumberFormat="1" applyFont="1" applyBorder="1" applyAlignment="1">
      <alignment horizontal="center" vertical="center" wrapText="1"/>
    </xf>
    <xf numFmtId="1" fontId="1" fillId="0" borderId="10" xfId="18" applyNumberFormat="1" applyFont="1" applyBorder="1" applyAlignment="1">
      <alignment horizontal="center" vertical="center" wrapText="1"/>
    </xf>
    <xf numFmtId="3" fontId="1" fillId="0" borderId="13" xfId="18" applyNumberFormat="1" applyFont="1" applyBorder="1" applyAlignment="1">
      <alignment horizontal="center" vertical="center"/>
    </xf>
    <xf numFmtId="3" fontId="12" fillId="0" borderId="6" xfId="18" applyNumberFormat="1" applyFont="1" applyBorder="1" applyAlignment="1">
      <alignment horizontal="center" vertical="center"/>
    </xf>
    <xf numFmtId="3" fontId="12" fillId="0" borderId="13" xfId="18" applyNumberFormat="1" applyFont="1" applyBorder="1" applyAlignment="1">
      <alignment horizontal="center" vertical="center"/>
    </xf>
    <xf numFmtId="3" fontId="12" fillId="0" borderId="10" xfId="18" applyNumberFormat="1" applyFont="1" applyBorder="1" applyAlignment="1">
      <alignment horizontal="center" vertical="center"/>
    </xf>
    <xf numFmtId="1" fontId="1" fillId="0" borderId="4" xfId="18" applyNumberFormat="1" applyFont="1" applyBorder="1" applyAlignment="1">
      <alignment horizontal="center" vertical="center"/>
    </xf>
    <xf numFmtId="1" fontId="1" fillId="0" borderId="12" xfId="18" applyNumberFormat="1" applyFont="1" applyBorder="1" applyAlignment="1">
      <alignment horizontal="center" vertical="center"/>
    </xf>
    <xf numFmtId="1" fontId="1" fillId="0" borderId="5" xfId="18" applyNumberFormat="1" applyFont="1" applyBorder="1" applyAlignment="1">
      <alignment horizontal="center" vertical="center"/>
    </xf>
    <xf numFmtId="1" fontId="1" fillId="0" borderId="15" xfId="18" applyNumberFormat="1" applyFont="1" applyBorder="1" applyAlignment="1">
      <alignment horizontal="center" vertical="center"/>
    </xf>
    <xf numFmtId="1" fontId="1" fillId="0" borderId="0" xfId="18" applyNumberFormat="1" applyFont="1" applyBorder="1" applyAlignment="1">
      <alignment horizontal="center" vertical="center"/>
    </xf>
    <xf numFmtId="1" fontId="1" fillId="0" borderId="14" xfId="18" applyNumberFormat="1" applyFont="1" applyBorder="1" applyAlignment="1">
      <alignment horizontal="center" vertical="center"/>
    </xf>
    <xf numFmtId="1" fontId="1" fillId="0" borderId="8" xfId="18" applyNumberFormat="1" applyFont="1" applyBorder="1" applyAlignment="1">
      <alignment horizontal="center" vertical="center"/>
    </xf>
    <xf numFmtId="1" fontId="1" fillId="0" borderId="2" xfId="18" applyNumberFormat="1" applyFont="1" applyBorder="1" applyAlignment="1">
      <alignment horizontal="center" vertical="center"/>
    </xf>
    <xf numFmtId="1" fontId="1" fillId="0" borderId="9" xfId="18" applyNumberFormat="1" applyFont="1" applyBorder="1" applyAlignment="1">
      <alignment horizontal="center" vertical="center"/>
    </xf>
    <xf numFmtId="167" fontId="1" fillId="2" borderId="13" xfId="18" applyFont="1" applyFill="1" applyBorder="1" applyAlignment="1">
      <alignment horizontal="justify" vertical="center" wrapText="1"/>
    </xf>
    <xf numFmtId="167" fontId="1" fillId="2" borderId="10" xfId="18" applyFont="1" applyFill="1" applyBorder="1" applyAlignment="1">
      <alignment horizontal="justify" vertical="center" wrapText="1"/>
    </xf>
    <xf numFmtId="170" fontId="7" fillId="2" borderId="6" xfId="18" applyNumberFormat="1" applyFont="1" applyFill="1" applyBorder="1" applyAlignment="1">
      <alignment horizontal="center" vertical="center"/>
    </xf>
    <xf numFmtId="170" fontId="7" fillId="2" borderId="13" xfId="18" applyNumberFormat="1" applyFont="1" applyFill="1" applyBorder="1" applyAlignment="1">
      <alignment horizontal="center" vertical="center"/>
    </xf>
    <xf numFmtId="170" fontId="7" fillId="2" borderId="10" xfId="18" applyNumberFormat="1" applyFont="1" applyFill="1" applyBorder="1" applyAlignment="1">
      <alignment horizontal="center" vertical="center"/>
    </xf>
    <xf numFmtId="3" fontId="7" fillId="0" borderId="6" xfId="18" applyNumberFormat="1" applyFont="1" applyBorder="1" applyAlignment="1">
      <alignment horizontal="center" vertical="center"/>
    </xf>
    <xf numFmtId="3" fontId="7" fillId="0" borderId="13" xfId="18" applyNumberFormat="1" applyFont="1" applyBorder="1" applyAlignment="1">
      <alignment horizontal="center" vertical="center"/>
    </xf>
    <xf numFmtId="3" fontId="7" fillId="0" borderId="10" xfId="18" applyNumberFormat="1" applyFont="1" applyBorder="1" applyAlignment="1">
      <alignment horizontal="center" vertical="center"/>
    </xf>
    <xf numFmtId="3" fontId="12" fillId="2" borderId="6" xfId="18" applyNumberFormat="1" applyFont="1" applyFill="1" applyBorder="1" applyAlignment="1">
      <alignment horizontal="center" vertical="center"/>
    </xf>
    <xf numFmtId="3" fontId="12" fillId="2" borderId="13" xfId="18" applyNumberFormat="1" applyFont="1" applyFill="1" applyBorder="1" applyAlignment="1">
      <alignment horizontal="center" vertical="center"/>
    </xf>
    <xf numFmtId="3" fontId="12" fillId="2" borderId="10" xfId="18" applyNumberFormat="1" applyFont="1" applyFill="1" applyBorder="1" applyAlignment="1">
      <alignment horizontal="center" vertical="center"/>
    </xf>
    <xf numFmtId="3" fontId="1" fillId="2" borderId="6" xfId="18" applyNumberFormat="1" applyFont="1" applyFill="1" applyBorder="1" applyAlignment="1">
      <alignment horizontal="center" vertical="center"/>
    </xf>
    <xf numFmtId="3" fontId="1" fillId="2" borderId="13" xfId="18" applyNumberFormat="1" applyFont="1" applyFill="1" applyBorder="1" applyAlignment="1">
      <alignment horizontal="center" vertical="center"/>
    </xf>
    <xf numFmtId="3" fontId="1" fillId="2" borderId="10" xfId="18" applyNumberFormat="1" applyFont="1" applyFill="1" applyBorder="1" applyAlignment="1">
      <alignment horizontal="center" vertical="center"/>
    </xf>
    <xf numFmtId="9" fontId="1" fillId="2" borderId="6" xfId="18" applyNumberFormat="1" applyFont="1" applyFill="1" applyBorder="1" applyAlignment="1">
      <alignment horizontal="center" vertical="center"/>
    </xf>
    <xf numFmtId="9" fontId="1" fillId="2" borderId="13" xfId="18" applyNumberFormat="1" applyFont="1" applyFill="1" applyBorder="1" applyAlignment="1">
      <alignment horizontal="center" vertical="center"/>
    </xf>
    <xf numFmtId="9" fontId="1" fillId="2" borderId="10" xfId="18" applyNumberFormat="1" applyFont="1" applyFill="1" applyBorder="1" applyAlignment="1">
      <alignment horizontal="center" vertical="center"/>
    </xf>
    <xf numFmtId="1" fontId="12" fillId="0" borderId="1" xfId="18" applyNumberFormat="1" applyFont="1" applyBorder="1" applyAlignment="1">
      <alignment horizontal="center" vertical="center"/>
    </xf>
    <xf numFmtId="0" fontId="1" fillId="0" borderId="6" xfId="18" applyNumberFormat="1" applyFont="1" applyFill="1" applyBorder="1" applyAlignment="1">
      <alignment horizontal="center" vertical="center" wrapText="1"/>
    </xf>
    <xf numFmtId="0" fontId="1" fillId="0" borderId="10" xfId="18" applyNumberFormat="1" applyFont="1" applyFill="1" applyBorder="1" applyAlignment="1">
      <alignment horizontal="center" vertical="center" wrapText="1"/>
    </xf>
    <xf numFmtId="170" fontId="1" fillId="0" borderId="6" xfId="18" applyNumberFormat="1" applyFont="1" applyBorder="1" applyAlignment="1">
      <alignment horizontal="center" vertical="center"/>
    </xf>
    <xf numFmtId="170" fontId="1" fillId="0" borderId="13" xfId="18" applyNumberFormat="1" applyFont="1" applyBorder="1" applyAlignment="1">
      <alignment horizontal="center" vertical="center"/>
    </xf>
    <xf numFmtId="170" fontId="1" fillId="0" borderId="10" xfId="18" applyNumberFormat="1" applyFont="1" applyBorder="1" applyAlignment="1">
      <alignment horizontal="center" vertical="center"/>
    </xf>
    <xf numFmtId="167" fontId="1" fillId="2" borderId="13" xfId="18" applyFont="1" applyFill="1" applyBorder="1" applyAlignment="1">
      <alignment horizontal="left" vertical="center"/>
    </xf>
    <xf numFmtId="3" fontId="1" fillId="2" borderId="13" xfId="18" applyNumberFormat="1" applyFont="1" applyFill="1" applyBorder="1" applyAlignment="1">
      <alignment horizontal="justify" vertical="center" wrapText="1"/>
    </xf>
    <xf numFmtId="3" fontId="1" fillId="0" borderId="6" xfId="18" applyNumberFormat="1" applyFont="1" applyBorder="1" applyAlignment="1">
      <alignment horizontal="center" vertical="center" wrapText="1"/>
    </xf>
    <xf numFmtId="3" fontId="1" fillId="0" borderId="13" xfId="18" applyNumberFormat="1" applyFont="1" applyBorder="1" applyAlignment="1">
      <alignment horizontal="center" vertical="center" wrapText="1"/>
    </xf>
    <xf numFmtId="3" fontId="1" fillId="0" borderId="10" xfId="18" applyNumberFormat="1" applyFont="1" applyBorder="1" applyAlignment="1">
      <alignment horizontal="center" vertical="center" wrapText="1"/>
    </xf>
    <xf numFmtId="12" fontId="1" fillId="0" borderId="13" xfId="18" applyNumberFormat="1" applyFont="1" applyBorder="1" applyAlignment="1">
      <alignment horizontal="center" vertical="center"/>
    </xf>
    <xf numFmtId="12" fontId="1" fillId="0" borderId="10" xfId="18" applyNumberFormat="1" applyFont="1" applyBorder="1" applyAlignment="1">
      <alignment horizontal="center" vertical="center"/>
    </xf>
    <xf numFmtId="1" fontId="12" fillId="0" borderId="6" xfId="18" applyNumberFormat="1" applyFont="1" applyBorder="1" applyAlignment="1">
      <alignment horizontal="center"/>
    </xf>
    <xf numFmtId="1" fontId="12" fillId="0" borderId="10" xfId="18" applyNumberFormat="1" applyFont="1" applyBorder="1" applyAlignment="1">
      <alignment horizontal="center"/>
    </xf>
    <xf numFmtId="1" fontId="1" fillId="0" borderId="1" xfId="18" applyNumberFormat="1" applyFont="1" applyBorder="1" applyAlignment="1">
      <alignment horizontal="center"/>
    </xf>
    <xf numFmtId="3" fontId="1" fillId="2" borderId="6" xfId="18" applyNumberFormat="1" applyFont="1" applyFill="1" applyBorder="1" applyAlignment="1">
      <alignment horizontal="justify" vertical="center" wrapText="1"/>
    </xf>
    <xf numFmtId="3" fontId="1" fillId="2" borderId="10" xfId="18" applyNumberFormat="1" applyFont="1" applyFill="1" applyBorder="1" applyAlignment="1">
      <alignment horizontal="justify" vertical="center" wrapText="1"/>
    </xf>
    <xf numFmtId="37" fontId="1" fillId="0" borderId="6" xfId="18" applyNumberFormat="1" applyFont="1" applyBorder="1" applyAlignment="1">
      <alignment horizontal="center" vertical="center"/>
    </xf>
    <xf numFmtId="37" fontId="1" fillId="0" borderId="13" xfId="18" applyNumberFormat="1" applyFont="1" applyBorder="1" applyAlignment="1">
      <alignment horizontal="center" vertical="center"/>
    </xf>
    <xf numFmtId="37" fontId="1" fillId="0" borderId="10" xfId="18" applyNumberFormat="1" applyFont="1" applyBorder="1" applyAlignment="1">
      <alignment horizontal="center" vertical="center"/>
    </xf>
    <xf numFmtId="37" fontId="12" fillId="0" borderId="6" xfId="18" applyNumberFormat="1" applyFont="1" applyBorder="1" applyAlignment="1">
      <alignment horizontal="center" vertical="center"/>
    </xf>
    <xf numFmtId="37" fontId="12" fillId="0" borderId="13" xfId="18" applyNumberFormat="1" applyFont="1" applyBorder="1" applyAlignment="1">
      <alignment horizontal="center" vertical="center"/>
    </xf>
    <xf numFmtId="37" fontId="12" fillId="0" borderId="10" xfId="18" applyNumberFormat="1" applyFont="1" applyBorder="1" applyAlignment="1">
      <alignment horizontal="center" vertical="center"/>
    </xf>
    <xf numFmtId="1" fontId="1" fillId="0" borderId="6" xfId="18" applyNumberFormat="1" applyFont="1" applyBorder="1" applyAlignment="1">
      <alignment horizontal="center"/>
    </xf>
    <xf numFmtId="1" fontId="1" fillId="0" borderId="10" xfId="18" applyNumberFormat="1" applyFont="1" applyBorder="1" applyAlignment="1">
      <alignment horizontal="center"/>
    </xf>
    <xf numFmtId="37" fontId="1" fillId="0" borderId="6" xfId="18" applyNumberFormat="1" applyFont="1" applyBorder="1" applyAlignment="1">
      <alignment horizontal="center" vertical="center" wrapText="1"/>
    </xf>
    <xf numFmtId="37" fontId="1" fillId="0" borderId="13" xfId="18" applyNumberFormat="1" applyFont="1" applyBorder="1" applyAlignment="1">
      <alignment horizontal="center" vertical="center" wrapText="1"/>
    </xf>
    <xf numFmtId="37" fontId="1" fillId="0" borderId="10" xfId="18" applyNumberFormat="1" applyFont="1" applyBorder="1" applyAlignment="1">
      <alignment horizontal="center" vertical="center" wrapText="1"/>
    </xf>
    <xf numFmtId="167" fontId="1" fillId="0" borderId="1" xfId="18" applyFont="1" applyBorder="1" applyAlignment="1">
      <alignment horizontal="center" vertical="center" wrapText="1"/>
    </xf>
    <xf numFmtId="9" fontId="1" fillId="0" borderId="6" xfId="5" applyFont="1" applyFill="1" applyBorder="1" applyAlignment="1">
      <alignment horizontal="center" vertical="center"/>
    </xf>
    <xf numFmtId="9" fontId="1" fillId="0" borderId="13" xfId="5" applyFont="1" applyFill="1" applyBorder="1" applyAlignment="1">
      <alignment horizontal="center" vertical="center"/>
    </xf>
    <xf numFmtId="9" fontId="1" fillId="0" borderId="10" xfId="5" applyFont="1" applyFill="1" applyBorder="1" applyAlignment="1">
      <alignment horizontal="center" vertical="center"/>
    </xf>
    <xf numFmtId="5" fontId="1" fillId="0" borderId="6" xfId="18" applyNumberFormat="1" applyFont="1" applyBorder="1" applyAlignment="1">
      <alignment horizontal="center" vertical="center"/>
    </xf>
    <xf numFmtId="5" fontId="1" fillId="0" borderId="13" xfId="18" applyNumberFormat="1" applyFont="1" applyBorder="1" applyAlignment="1">
      <alignment horizontal="center" vertical="center"/>
    </xf>
    <xf numFmtId="5" fontId="1" fillId="0" borderId="10" xfId="18" applyNumberFormat="1" applyFont="1" applyBorder="1" applyAlignment="1">
      <alignment horizontal="center" vertical="center"/>
    </xf>
    <xf numFmtId="37" fontId="1" fillId="0" borderId="1" xfId="18" applyNumberFormat="1" applyFont="1" applyBorder="1" applyAlignment="1">
      <alignment horizontal="center" vertical="center"/>
    </xf>
    <xf numFmtId="1" fontId="12" fillId="0" borderId="13" xfId="18" applyNumberFormat="1" applyFont="1" applyBorder="1" applyAlignment="1">
      <alignment horizontal="center"/>
    </xf>
    <xf numFmtId="0" fontId="1" fillId="0" borderId="13" xfId="18" applyNumberFormat="1" applyFont="1" applyFill="1" applyBorder="1" applyAlignment="1">
      <alignment horizontal="center" vertical="center" wrapText="1"/>
    </xf>
    <xf numFmtId="1" fontId="1" fillId="0" borderId="13" xfId="18" applyNumberFormat="1" applyFont="1" applyBorder="1" applyAlignment="1">
      <alignment horizontal="center"/>
    </xf>
    <xf numFmtId="170" fontId="1" fillId="0" borderId="6" xfId="18" applyNumberFormat="1" applyFont="1" applyBorder="1" applyAlignment="1">
      <alignment horizontal="center" vertical="center" wrapText="1"/>
    </xf>
    <xf numFmtId="170" fontId="1" fillId="0" borderId="13" xfId="18" applyNumberFormat="1" applyFont="1" applyBorder="1" applyAlignment="1">
      <alignment horizontal="center" vertical="center" wrapText="1"/>
    </xf>
    <xf numFmtId="170" fontId="1" fillId="0" borderId="10" xfId="18" applyNumberFormat="1" applyFont="1" applyBorder="1" applyAlignment="1">
      <alignment horizontal="center" vertical="center" wrapText="1"/>
    </xf>
    <xf numFmtId="167" fontId="1" fillId="0" borderId="6" xfId="18" applyFont="1" applyBorder="1" applyAlignment="1">
      <alignment horizontal="center" vertical="center" wrapText="1"/>
    </xf>
    <xf numFmtId="167" fontId="1" fillId="0" borderId="13" xfId="18" applyFont="1" applyBorder="1" applyAlignment="1">
      <alignment horizontal="center" vertical="center" wrapText="1"/>
    </xf>
    <xf numFmtId="167" fontId="1" fillId="0" borderId="10" xfId="18" applyFont="1" applyBorder="1" applyAlignment="1">
      <alignment horizontal="center" vertical="center" wrapText="1"/>
    </xf>
    <xf numFmtId="1" fontId="1" fillId="2" borderId="4" xfId="18" applyNumberFormat="1" applyFont="1" applyFill="1" applyBorder="1" applyAlignment="1">
      <alignment horizontal="center" vertical="center"/>
    </xf>
    <xf numFmtId="1" fontId="1" fillId="2" borderId="12" xfId="18" applyNumberFormat="1" applyFont="1" applyFill="1" applyBorder="1" applyAlignment="1">
      <alignment horizontal="center" vertical="center"/>
    </xf>
    <xf numFmtId="1" fontId="1" fillId="2" borderId="5" xfId="18" applyNumberFormat="1" applyFont="1" applyFill="1" applyBorder="1" applyAlignment="1">
      <alignment horizontal="center" vertical="center"/>
    </xf>
    <xf numFmtId="1" fontId="1" fillId="2" borderId="15" xfId="18" applyNumberFormat="1" applyFont="1" applyFill="1" applyBorder="1" applyAlignment="1">
      <alignment horizontal="center" vertical="center"/>
    </xf>
    <xf numFmtId="1" fontId="1" fillId="2" borderId="0" xfId="18" applyNumberFormat="1" applyFont="1" applyFill="1" applyBorder="1" applyAlignment="1">
      <alignment horizontal="center" vertical="center"/>
    </xf>
    <xf numFmtId="1" fontId="1" fillId="2" borderId="14" xfId="18" applyNumberFormat="1" applyFont="1" applyFill="1" applyBorder="1" applyAlignment="1">
      <alignment horizontal="center" vertical="center"/>
    </xf>
    <xf numFmtId="1" fontId="1" fillId="2" borderId="8" xfId="18" applyNumberFormat="1" applyFont="1" applyFill="1" applyBorder="1" applyAlignment="1">
      <alignment horizontal="center" vertical="center"/>
    </xf>
    <xf numFmtId="1" fontId="1" fillId="2" borderId="2" xfId="18" applyNumberFormat="1" applyFont="1" applyFill="1" applyBorder="1" applyAlignment="1">
      <alignment horizontal="center" vertical="center"/>
    </xf>
    <xf numFmtId="1" fontId="1" fillId="2" borderId="9" xfId="18" applyNumberFormat="1" applyFont="1" applyFill="1" applyBorder="1" applyAlignment="1">
      <alignment horizontal="center" vertical="center"/>
    </xf>
    <xf numFmtId="167" fontId="12" fillId="0" borderId="6" xfId="18" applyFont="1" applyBorder="1" applyAlignment="1">
      <alignment horizontal="center"/>
    </xf>
    <xf numFmtId="167" fontId="12" fillId="0" borderId="13" xfId="18" applyFont="1" applyBorder="1" applyAlignment="1">
      <alignment horizontal="center"/>
    </xf>
    <xf numFmtId="167" fontId="12" fillId="0" borderId="10" xfId="18" applyFont="1" applyBorder="1" applyAlignment="1">
      <alignment horizontal="center"/>
    </xf>
    <xf numFmtId="167" fontId="1" fillId="0" borderId="6" xfId="18" applyFont="1" applyBorder="1" applyAlignment="1">
      <alignment horizontal="center"/>
    </xf>
    <xf numFmtId="167" fontId="1" fillId="0" borderId="13" xfId="18" applyFont="1" applyBorder="1" applyAlignment="1">
      <alignment horizontal="center"/>
    </xf>
    <xf numFmtId="167" fontId="1" fillId="0" borderId="10" xfId="18" applyFont="1" applyBorder="1" applyAlignment="1">
      <alignment horizontal="center"/>
    </xf>
    <xf numFmtId="186" fontId="1" fillId="0" borderId="6" xfId="18" applyNumberFormat="1" applyFont="1" applyBorder="1" applyAlignment="1">
      <alignment horizontal="center" vertical="center"/>
    </xf>
    <xf numFmtId="186" fontId="1" fillId="0" borderId="13" xfId="18" applyNumberFormat="1" applyFont="1" applyBorder="1" applyAlignment="1">
      <alignment horizontal="center" vertical="center"/>
    </xf>
    <xf numFmtId="186" fontId="1" fillId="0" borderId="10" xfId="18" applyNumberFormat="1" applyFont="1" applyBorder="1" applyAlignment="1">
      <alignment horizontal="center" vertical="center"/>
    </xf>
    <xf numFmtId="187" fontId="1" fillId="0" borderId="6" xfId="18" applyNumberFormat="1" applyFont="1" applyBorder="1" applyAlignment="1">
      <alignment horizontal="center" vertical="center"/>
    </xf>
    <xf numFmtId="187" fontId="1" fillId="0" borderId="13" xfId="18" applyNumberFormat="1" applyFont="1" applyBorder="1" applyAlignment="1">
      <alignment horizontal="center" vertical="center"/>
    </xf>
    <xf numFmtId="187" fontId="1" fillId="0" borderId="10" xfId="18" applyNumberFormat="1" applyFont="1" applyBorder="1" applyAlignment="1">
      <alignment horizontal="center" vertical="center"/>
    </xf>
    <xf numFmtId="167" fontId="1" fillId="0" borderId="6" xfId="18" applyFont="1" applyFill="1" applyBorder="1" applyAlignment="1">
      <alignment horizontal="center" vertical="center" wrapText="1" shrinkToFit="1"/>
    </xf>
    <xf numFmtId="167" fontId="1" fillId="0" borderId="13" xfId="18" applyFont="1" applyFill="1" applyBorder="1" applyAlignment="1">
      <alignment horizontal="center" vertical="center" wrapText="1" shrinkToFit="1"/>
    </xf>
    <xf numFmtId="3" fontId="1" fillId="0" borderId="6" xfId="18" applyNumberFormat="1" applyFont="1" applyBorder="1" applyAlignment="1">
      <alignment horizontal="center"/>
    </xf>
    <xf numFmtId="3" fontId="1" fillId="0" borderId="13" xfId="18" applyNumberFormat="1" applyFont="1" applyBorder="1" applyAlignment="1">
      <alignment horizontal="center"/>
    </xf>
    <xf numFmtId="3" fontId="12" fillId="0" borderId="6" xfId="18" applyNumberFormat="1" applyFont="1" applyBorder="1" applyAlignment="1">
      <alignment horizontal="center"/>
    </xf>
    <xf numFmtId="3" fontId="12" fillId="0" borderId="13" xfId="18" applyNumberFormat="1" applyFont="1" applyBorder="1" applyAlignment="1">
      <alignment horizontal="center"/>
    </xf>
    <xf numFmtId="10" fontId="1" fillId="0" borderId="6" xfId="18" applyNumberFormat="1" applyFont="1" applyBorder="1" applyAlignment="1">
      <alignment horizontal="center" vertical="center"/>
    </xf>
    <xf numFmtId="10" fontId="1" fillId="0" borderId="13" xfId="18" applyNumberFormat="1" applyFont="1" applyBorder="1" applyAlignment="1">
      <alignment horizontal="center" vertical="center"/>
    </xf>
    <xf numFmtId="0" fontId="7" fillId="2" borderId="6" xfId="18" applyNumberFormat="1" applyFont="1" applyFill="1" applyBorder="1" applyAlignment="1">
      <alignment horizontal="center" vertical="center"/>
    </xf>
    <xf numFmtId="0" fontId="7" fillId="2" borderId="13" xfId="18" applyNumberFormat="1" applyFont="1" applyFill="1" applyBorder="1" applyAlignment="1">
      <alignment horizontal="center" vertical="center"/>
    </xf>
    <xf numFmtId="167" fontId="3" fillId="0" borderId="40" xfId="18" applyFont="1" applyBorder="1" applyAlignment="1">
      <alignment horizontal="center" vertical="center"/>
    </xf>
    <xf numFmtId="167" fontId="3" fillId="0" borderId="39" xfId="18" applyFont="1" applyBorder="1" applyAlignment="1">
      <alignment horizontal="center" vertical="center"/>
    </xf>
    <xf numFmtId="167" fontId="3" fillId="0" borderId="41" xfId="18" applyFont="1" applyBorder="1" applyAlignment="1">
      <alignment horizontal="center" vertical="center"/>
    </xf>
    <xf numFmtId="167" fontId="1" fillId="0" borderId="6" xfId="18" applyFont="1" applyBorder="1" applyAlignment="1">
      <alignment horizontal="center" vertical="center"/>
    </xf>
    <xf numFmtId="167" fontId="1" fillId="0" borderId="13" xfId="18" applyFont="1" applyBorder="1" applyAlignment="1">
      <alignment horizontal="center" vertical="center"/>
    </xf>
    <xf numFmtId="167" fontId="1" fillId="0" borderId="10" xfId="18" applyFont="1" applyBorder="1" applyAlignment="1">
      <alignment horizontal="center" vertical="center"/>
    </xf>
    <xf numFmtId="169"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textRotation="90" wrapText="1"/>
    </xf>
    <xf numFmtId="3" fontId="1" fillId="0" borderId="6" xfId="0" applyNumberFormat="1" applyFont="1" applyFill="1" applyBorder="1" applyAlignment="1">
      <alignment horizontal="center" vertical="center" textRotation="90" wrapText="1"/>
    </xf>
    <xf numFmtId="3" fontId="12" fillId="0" borderId="1" xfId="0" applyNumberFormat="1" applyFont="1" applyFill="1" applyBorder="1" applyAlignment="1">
      <alignment horizontal="center" vertical="center" textRotation="90" wrapText="1"/>
    </xf>
    <xf numFmtId="3" fontId="12" fillId="0" borderId="6" xfId="0" applyNumberFormat="1" applyFont="1" applyFill="1" applyBorder="1" applyAlignment="1">
      <alignment horizontal="center" vertical="center" textRotation="90" wrapText="1"/>
    </xf>
    <xf numFmtId="0" fontId="3" fillId="0" borderId="69" xfId="0" applyFont="1" applyBorder="1" applyAlignment="1">
      <alignment horizontal="center" vertical="center"/>
    </xf>
    <xf numFmtId="0" fontId="1" fillId="2" borderId="12"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0" xfId="0" applyFont="1" applyFill="1" applyBorder="1" applyAlignment="1">
      <alignment horizontal="center" vertical="center" textRotation="90" wrapText="1"/>
    </xf>
    <xf numFmtId="0" fontId="1" fillId="2" borderId="14" xfId="0" applyFont="1" applyFill="1" applyBorder="1" applyAlignment="1">
      <alignment horizontal="center" vertical="center" textRotation="90" wrapText="1"/>
    </xf>
    <xf numFmtId="0" fontId="1" fillId="0" borderId="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184" fontId="1" fillId="2" borderId="3" xfId="0" applyNumberFormat="1" applyFont="1" applyFill="1" applyBorder="1" applyAlignment="1">
      <alignment horizontal="center" vertical="center" wrapText="1"/>
    </xf>
    <xf numFmtId="170" fontId="7" fillId="0" borderId="1" xfId="0" applyNumberFormat="1" applyFont="1" applyFill="1" applyBorder="1" applyAlignment="1">
      <alignment horizontal="justify" vertical="center" wrapText="1"/>
    </xf>
    <xf numFmtId="184" fontId="7" fillId="0" borderId="6" xfId="0" applyNumberFormat="1" applyFont="1" applyFill="1" applyBorder="1" applyAlignment="1">
      <alignment horizontal="center" vertical="center" wrapText="1"/>
    </xf>
    <xf numFmtId="184" fontId="7" fillId="0" borderId="13" xfId="0" applyNumberFormat="1"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184" fontId="12" fillId="0" borderId="6" xfId="0" applyNumberFormat="1" applyFont="1" applyFill="1" applyBorder="1" applyAlignment="1">
      <alignment horizontal="center" vertical="center" wrapText="1"/>
    </xf>
    <xf numFmtId="184" fontId="12" fillId="0" borderId="13" xfId="0" applyNumberFormat="1" applyFont="1" applyFill="1" applyBorder="1" applyAlignment="1">
      <alignment horizontal="center" vertical="center" wrapText="1"/>
    </xf>
    <xf numFmtId="184" fontId="12" fillId="0" borderId="10"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14" fontId="12" fillId="0" borderId="13" xfId="0"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84" fontId="7" fillId="0" borderId="1" xfId="0" applyNumberFormat="1" applyFont="1" applyFill="1" applyBorder="1" applyAlignment="1">
      <alignment horizontal="center" vertical="center" wrapText="1"/>
    </xf>
    <xf numFmtId="184" fontId="12" fillId="0"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174" fontId="1" fillId="0"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70" fontId="7" fillId="0" borderId="1" xfId="0" applyNumberFormat="1" applyFont="1" applyFill="1" applyBorder="1" applyAlignment="1">
      <alignment vertical="center" wrapText="1"/>
    </xf>
    <xf numFmtId="170" fontId="7" fillId="2" borderId="1" xfId="0"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textRotation="90" wrapText="1"/>
    </xf>
    <xf numFmtId="170" fontId="1" fillId="2" borderId="1" xfId="0" applyNumberFormat="1" applyFont="1" applyFill="1" applyBorder="1" applyAlignment="1">
      <alignment horizontal="center" vertical="center" wrapText="1"/>
    </xf>
    <xf numFmtId="170" fontId="7" fillId="2" borderId="1" xfId="0" applyNumberFormat="1" applyFont="1" applyFill="1" applyBorder="1" applyAlignment="1">
      <alignment vertical="center" wrapText="1"/>
    </xf>
    <xf numFmtId="184" fontId="1" fillId="0" borderId="3" xfId="0" applyNumberFormat="1" applyFont="1" applyFill="1" applyBorder="1" applyAlignment="1">
      <alignment horizontal="center" vertical="center" wrapText="1"/>
    </xf>
    <xf numFmtId="182" fontId="23" fillId="2" borderId="6" xfId="0" applyNumberFormat="1" applyFont="1" applyFill="1" applyBorder="1" applyAlignment="1">
      <alignment horizontal="center" vertical="center"/>
    </xf>
    <xf numFmtId="182" fontId="23" fillId="2" borderId="13" xfId="0" applyNumberFormat="1" applyFont="1" applyFill="1" applyBorder="1" applyAlignment="1">
      <alignment horizontal="center" vertical="center"/>
    </xf>
    <xf numFmtId="182" fontId="23" fillId="2"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textRotation="90" wrapText="1"/>
    </xf>
    <xf numFmtId="3" fontId="7" fillId="0" borderId="10" xfId="0" applyNumberFormat="1" applyFont="1" applyFill="1" applyBorder="1" applyAlignment="1">
      <alignment horizontal="center" vertical="center" textRotation="90" wrapText="1"/>
    </xf>
    <xf numFmtId="184" fontId="1" fillId="0" borderId="10" xfId="0" applyNumberFormat="1"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184" fontId="1" fillId="0" borderId="5" xfId="0" applyNumberFormat="1" applyFont="1" applyFill="1" applyBorder="1" applyAlignment="1">
      <alignment horizontal="center" vertical="center" wrapText="1"/>
    </xf>
    <xf numFmtId="184" fontId="1" fillId="0" borderId="14" xfId="0" applyNumberFormat="1" applyFont="1" applyFill="1" applyBorder="1" applyAlignment="1">
      <alignment horizontal="center" vertical="center" wrapText="1"/>
    </xf>
    <xf numFmtId="184" fontId="1" fillId="0" borderId="9"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67" fontId="3" fillId="3" borderId="1" xfId="9" applyFont="1" applyFill="1" applyBorder="1" applyAlignment="1">
      <alignment horizontal="center" vertical="center"/>
    </xf>
    <xf numFmtId="0" fontId="3" fillId="0" borderId="2" xfId="0" applyFont="1" applyBorder="1" applyAlignment="1">
      <alignment horizontal="center" vertical="center"/>
    </xf>
    <xf numFmtId="170" fontId="3" fillId="3" borderId="1" xfId="0" applyNumberFormat="1" applyFont="1" applyFill="1" applyBorder="1" applyAlignment="1">
      <alignment horizontal="center" vertical="center" wrapText="1"/>
    </xf>
    <xf numFmtId="185" fontId="1" fillId="0" borderId="6" xfId="9" applyNumberFormat="1" applyFont="1" applyBorder="1" applyAlignment="1" applyProtection="1">
      <alignment horizontal="center" vertical="center"/>
      <protection locked="0"/>
    </xf>
    <xf numFmtId="185" fontId="1" fillId="0" borderId="10" xfId="9" applyNumberFormat="1" applyFont="1" applyBorder="1" applyAlignment="1" applyProtection="1">
      <alignment horizontal="center" vertical="center"/>
      <protection locked="0"/>
    </xf>
    <xf numFmtId="185" fontId="1" fillId="0" borderId="6" xfId="9" applyNumberFormat="1" applyFont="1" applyBorder="1" applyAlignment="1" applyProtection="1">
      <alignment horizontal="left" vertical="center" wrapText="1"/>
      <protection locked="0"/>
    </xf>
    <xf numFmtId="185" fontId="1" fillId="0" borderId="10" xfId="9" applyNumberFormat="1" applyFont="1" applyBorder="1" applyAlignment="1" applyProtection="1">
      <alignment horizontal="left" vertical="center" wrapText="1"/>
      <protection locked="0"/>
    </xf>
    <xf numFmtId="185" fontId="12" fillId="0" borderId="6" xfId="9" applyNumberFormat="1" applyFont="1" applyBorder="1" applyAlignment="1" applyProtection="1">
      <alignment horizontal="center" vertical="center" textRotation="180"/>
      <protection locked="0"/>
    </xf>
    <xf numFmtId="185" fontId="12" fillId="0" borderId="13" xfId="9" applyNumberFormat="1" applyFont="1" applyBorder="1" applyAlignment="1" applyProtection="1">
      <alignment horizontal="center" vertical="center" textRotation="180"/>
      <protection locked="0"/>
    </xf>
    <xf numFmtId="185" fontId="12" fillId="0" borderId="10" xfId="9" applyNumberFormat="1" applyFont="1" applyBorder="1" applyAlignment="1" applyProtection="1">
      <alignment horizontal="center" vertical="center" textRotation="180"/>
      <protection locked="0"/>
    </xf>
    <xf numFmtId="185" fontId="1" fillId="0" borderId="6" xfId="9" applyNumberFormat="1" applyFont="1" applyBorder="1" applyAlignment="1" applyProtection="1">
      <alignment horizontal="center" vertical="center" textRotation="180"/>
      <protection locked="0"/>
    </xf>
    <xf numFmtId="185" fontId="1" fillId="0" borderId="13" xfId="9" applyNumberFormat="1" applyFont="1" applyBorder="1" applyAlignment="1" applyProtection="1">
      <alignment horizontal="center" vertical="center" textRotation="180"/>
      <protection locked="0"/>
    </xf>
    <xf numFmtId="185" fontId="1" fillId="0" borderId="10" xfId="9" applyNumberFormat="1" applyFont="1" applyBorder="1" applyAlignment="1" applyProtection="1">
      <alignment horizontal="center" vertical="center" textRotation="180"/>
      <protection locked="0"/>
    </xf>
    <xf numFmtId="185" fontId="12" fillId="0" borderId="15" xfId="9" applyNumberFormat="1" applyFont="1" applyBorder="1" applyAlignment="1" applyProtection="1">
      <alignment horizontal="center" vertical="center" textRotation="180"/>
      <protection locked="0"/>
    </xf>
    <xf numFmtId="185" fontId="12" fillId="0" borderId="6" xfId="9" applyNumberFormat="1" applyFont="1" applyFill="1" applyBorder="1" applyAlignment="1" applyProtection="1">
      <alignment horizontal="center" vertical="center" textRotation="180"/>
      <protection locked="0"/>
    </xf>
    <xf numFmtId="185" fontId="12" fillId="0" borderId="13" xfId="9" applyNumberFormat="1" applyFont="1" applyFill="1" applyBorder="1" applyAlignment="1" applyProtection="1">
      <alignment horizontal="center" vertical="center" textRotation="180"/>
      <protection locked="0"/>
    </xf>
    <xf numFmtId="185" fontId="12" fillId="0" borderId="10" xfId="9" applyNumberFormat="1" applyFont="1" applyFill="1" applyBorder="1" applyAlignment="1" applyProtection="1">
      <alignment horizontal="center" vertical="center" textRotation="180"/>
      <protection locked="0"/>
    </xf>
    <xf numFmtId="185" fontId="1" fillId="0" borderId="6" xfId="9" applyNumberFormat="1" applyFont="1" applyFill="1" applyBorder="1" applyAlignment="1" applyProtection="1">
      <alignment horizontal="center" vertical="center" textRotation="180"/>
      <protection locked="0"/>
    </xf>
    <xf numFmtId="185" fontId="1" fillId="0" borderId="13" xfId="9" applyNumberFormat="1" applyFont="1" applyFill="1" applyBorder="1" applyAlignment="1" applyProtection="1">
      <alignment horizontal="center" vertical="center" textRotation="180"/>
      <protection locked="0"/>
    </xf>
    <xf numFmtId="185" fontId="1" fillId="0" borderId="10" xfId="9" applyNumberFormat="1" applyFont="1" applyFill="1" applyBorder="1" applyAlignment="1" applyProtection="1">
      <alignment horizontal="center" vertical="center" textRotation="180"/>
      <protection locked="0"/>
    </xf>
    <xf numFmtId="14" fontId="12" fillId="2" borderId="1" xfId="9" applyNumberFormat="1" applyFont="1" applyFill="1" applyBorder="1" applyAlignment="1" applyProtection="1">
      <alignment horizontal="center" vertical="center" wrapText="1"/>
      <protection locked="0"/>
    </xf>
    <xf numFmtId="14" fontId="1" fillId="2" borderId="1" xfId="9" applyNumberFormat="1" applyFont="1" applyFill="1" applyBorder="1" applyAlignment="1" applyProtection="1">
      <alignment horizontal="center" vertical="center" wrapText="1"/>
      <protection locked="0"/>
    </xf>
    <xf numFmtId="172" fontId="1" fillId="0" borderId="1" xfId="8" applyNumberFormat="1" applyFont="1" applyFill="1" applyBorder="1" applyAlignment="1" applyProtection="1">
      <alignment horizontal="center" vertical="center"/>
      <protection locked="0"/>
    </xf>
    <xf numFmtId="9" fontId="1" fillId="0" borderId="1" xfId="5" applyFont="1" applyFill="1" applyBorder="1" applyAlignment="1" applyProtection="1">
      <alignment horizontal="center" vertical="center"/>
      <protection locked="0"/>
    </xf>
    <xf numFmtId="0" fontId="1" fillId="0" borderId="1" xfId="9" applyNumberFormat="1" applyFont="1" applyFill="1" applyBorder="1" applyAlignment="1" applyProtection="1">
      <alignment horizontal="center" vertical="center"/>
      <protection locked="0"/>
    </xf>
    <xf numFmtId="167" fontId="1" fillId="0" borderId="1" xfId="9" applyFont="1" applyFill="1" applyBorder="1" applyAlignment="1" applyProtection="1">
      <alignment horizontal="justify" vertical="center"/>
      <protection locked="0"/>
    </xf>
    <xf numFmtId="3" fontId="1" fillId="0" borderId="6" xfId="9" applyNumberFormat="1" applyFont="1" applyFill="1" applyBorder="1" applyAlignment="1" applyProtection="1">
      <alignment horizontal="center" vertical="center" textRotation="180" wrapText="1"/>
      <protection locked="0"/>
    </xf>
    <xf numFmtId="3" fontId="1" fillId="0" borderId="13" xfId="9" applyNumberFormat="1" applyFont="1" applyFill="1" applyBorder="1" applyAlignment="1" applyProtection="1">
      <alignment horizontal="center" vertical="center" textRotation="180" wrapText="1"/>
      <protection locked="0"/>
    </xf>
    <xf numFmtId="3" fontId="1" fillId="0" borderId="10" xfId="9" applyNumberFormat="1" applyFont="1" applyFill="1" applyBorder="1" applyAlignment="1" applyProtection="1">
      <alignment horizontal="center" vertical="center" textRotation="180" wrapText="1"/>
      <protection locked="0"/>
    </xf>
    <xf numFmtId="3" fontId="12" fillId="0" borderId="6" xfId="9" applyNumberFormat="1" applyFont="1" applyFill="1" applyBorder="1" applyAlignment="1" applyProtection="1">
      <alignment horizontal="center" vertical="center" textRotation="180" wrapText="1"/>
      <protection locked="0"/>
    </xf>
    <xf numFmtId="3" fontId="12" fillId="0" borderId="13" xfId="9" applyNumberFormat="1" applyFont="1" applyFill="1" applyBorder="1" applyAlignment="1" applyProtection="1">
      <alignment horizontal="center" vertical="center" textRotation="180" wrapText="1"/>
      <protection locked="0"/>
    </xf>
    <xf numFmtId="3" fontId="12" fillId="0" borderId="10" xfId="9" applyNumberFormat="1" applyFont="1" applyFill="1" applyBorder="1" applyAlignment="1" applyProtection="1">
      <alignment horizontal="center" vertical="center" textRotation="180" wrapText="1"/>
      <protection locked="0"/>
    </xf>
    <xf numFmtId="172" fontId="1" fillId="2" borderId="6" xfId="8" applyNumberFormat="1" applyFont="1" applyFill="1" applyBorder="1" applyAlignment="1" applyProtection="1">
      <alignment horizontal="center" vertical="center"/>
      <protection locked="0"/>
    </xf>
    <xf numFmtId="172" fontId="1" fillId="2" borderId="13" xfId="8" applyNumberFormat="1" applyFont="1" applyFill="1" applyBorder="1" applyAlignment="1" applyProtection="1">
      <alignment horizontal="center" vertical="center"/>
      <protection locked="0"/>
    </xf>
    <xf numFmtId="170" fontId="12" fillId="0" borderId="1" xfId="9" applyNumberFormat="1" applyFont="1" applyFill="1" applyBorder="1" applyAlignment="1" applyProtection="1">
      <alignment horizontal="center" vertical="center"/>
      <protection locked="0"/>
    </xf>
    <xf numFmtId="170" fontId="12" fillId="2" borderId="1" xfId="9" applyNumberFormat="1" applyFont="1" applyFill="1" applyBorder="1" applyAlignment="1" applyProtection="1">
      <alignment horizontal="center" vertical="center"/>
      <protection locked="0"/>
    </xf>
    <xf numFmtId="172" fontId="1" fillId="0" borderId="6" xfId="8" applyNumberFormat="1" applyFont="1" applyFill="1" applyBorder="1" applyAlignment="1" applyProtection="1">
      <alignment horizontal="center" vertical="center"/>
      <protection locked="0"/>
    </xf>
    <xf numFmtId="172" fontId="1" fillId="0" borderId="13" xfId="8" applyNumberFormat="1" applyFont="1" applyFill="1" applyBorder="1" applyAlignment="1" applyProtection="1">
      <alignment horizontal="center" vertical="center"/>
      <protection locked="0"/>
    </xf>
    <xf numFmtId="172" fontId="1" fillId="2" borderId="6" xfId="8" applyNumberFormat="1" applyFont="1" applyFill="1" applyBorder="1" applyAlignment="1" applyProtection="1">
      <alignment horizontal="justify" vertical="center"/>
      <protection locked="0"/>
    </xf>
    <xf numFmtId="172" fontId="1" fillId="2" borderId="13" xfId="8" applyNumberFormat="1" applyFont="1" applyFill="1" applyBorder="1" applyAlignment="1" applyProtection="1">
      <alignment horizontal="justify" vertical="center"/>
      <protection locked="0"/>
    </xf>
    <xf numFmtId="14" fontId="1" fillId="2" borderId="6" xfId="8" applyNumberFormat="1" applyFont="1" applyFill="1" applyBorder="1" applyAlignment="1" applyProtection="1">
      <alignment horizontal="center" vertical="center"/>
      <protection locked="0"/>
    </xf>
    <xf numFmtId="14" fontId="1" fillId="2" borderId="13" xfId="8" applyNumberFormat="1" applyFont="1" applyFill="1" applyBorder="1" applyAlignment="1" applyProtection="1">
      <alignment horizontal="center" vertical="center"/>
      <protection locked="0"/>
    </xf>
    <xf numFmtId="169" fontId="3" fillId="3" borderId="16" xfId="9" applyNumberFormat="1" applyFont="1" applyFill="1" applyBorder="1" applyAlignment="1" applyProtection="1">
      <alignment horizontal="center" vertical="center" wrapText="1"/>
      <protection locked="0"/>
    </xf>
    <xf numFmtId="169" fontId="3" fillId="3" borderId="1" xfId="9" applyNumberFormat="1" applyFont="1" applyFill="1" applyBorder="1" applyAlignment="1" applyProtection="1">
      <alignment horizontal="center" vertical="center" wrapText="1"/>
      <protection locked="0"/>
    </xf>
    <xf numFmtId="3" fontId="3" fillId="3" borderId="26" xfId="9" applyNumberFormat="1" applyFont="1" applyFill="1" applyBorder="1" applyAlignment="1" applyProtection="1">
      <alignment horizontal="center" vertical="center" wrapText="1"/>
      <protection locked="0"/>
    </xf>
    <xf numFmtId="3" fontId="3" fillId="3" borderId="28" xfId="9" applyNumberFormat="1" applyFont="1" applyFill="1" applyBorder="1" applyAlignment="1" applyProtection="1">
      <alignment horizontal="center" vertical="center" wrapText="1"/>
      <protection locked="0"/>
    </xf>
    <xf numFmtId="3" fontId="3" fillId="3" borderId="30" xfId="9" applyNumberFormat="1" applyFont="1" applyFill="1" applyBorder="1" applyAlignment="1" applyProtection="1">
      <alignment horizontal="center" vertical="center" wrapText="1"/>
      <protection locked="0"/>
    </xf>
    <xf numFmtId="167" fontId="3" fillId="3" borderId="1" xfId="9" applyFont="1" applyFill="1" applyBorder="1" applyAlignment="1" applyProtection="1">
      <alignment horizontal="center" vertical="center" wrapText="1"/>
      <protection locked="0"/>
    </xf>
    <xf numFmtId="49" fontId="3" fillId="3" borderId="4" xfId="9" applyNumberFormat="1" applyFont="1" applyFill="1" applyBorder="1" applyAlignment="1" applyProtection="1">
      <alignment horizontal="center" vertical="center" wrapText="1"/>
      <protection locked="0"/>
    </xf>
    <xf numFmtId="49" fontId="3" fillId="3" borderId="5" xfId="9" applyNumberFormat="1" applyFont="1" applyFill="1" applyBorder="1" applyAlignment="1" applyProtection="1">
      <alignment horizontal="center" vertical="center" wrapText="1"/>
      <protection locked="0"/>
    </xf>
    <xf numFmtId="167" fontId="3" fillId="3" borderId="4" xfId="9" applyFont="1" applyFill="1" applyBorder="1" applyAlignment="1" applyProtection="1">
      <alignment horizontal="center" vertical="center" wrapText="1"/>
      <protection locked="0"/>
    </xf>
    <xf numFmtId="167" fontId="3" fillId="3" borderId="5" xfId="9" applyFont="1" applyFill="1" applyBorder="1" applyAlignment="1" applyProtection="1">
      <alignment horizontal="center" vertical="center" wrapText="1"/>
      <protection locked="0"/>
    </xf>
    <xf numFmtId="167" fontId="3" fillId="3" borderId="7" xfId="9" applyFont="1" applyFill="1" applyBorder="1" applyAlignment="1" applyProtection="1">
      <alignment horizontal="center" vertical="center" wrapText="1"/>
      <protection locked="0"/>
    </xf>
    <xf numFmtId="167" fontId="3" fillId="3" borderId="3" xfId="9" applyFont="1" applyFill="1" applyBorder="1" applyAlignment="1" applyProtection="1">
      <alignment horizontal="center" vertical="center" wrapText="1"/>
      <protection locked="0"/>
    </xf>
    <xf numFmtId="167" fontId="3" fillId="3" borderId="23" xfId="9" applyFont="1" applyFill="1" applyBorder="1" applyAlignment="1" applyProtection="1">
      <alignment horizontal="center" vertical="center"/>
      <protection locked="0"/>
    </xf>
    <xf numFmtId="167" fontId="3" fillId="3" borderId="24" xfId="9" applyFont="1" applyFill="1" applyBorder="1" applyAlignment="1" applyProtection="1">
      <alignment horizontal="center" vertical="center"/>
      <protection locked="0"/>
    </xf>
    <xf numFmtId="167" fontId="3" fillId="3" borderId="25" xfId="9" applyFont="1" applyFill="1" applyBorder="1" applyAlignment="1" applyProtection="1">
      <alignment horizontal="center" vertical="center"/>
      <protection locked="0"/>
    </xf>
    <xf numFmtId="167" fontId="3" fillId="3" borderId="20" xfId="9" applyFont="1" applyFill="1" applyBorder="1" applyAlignment="1" applyProtection="1">
      <alignment horizontal="center" vertical="center"/>
      <protection locked="0"/>
    </xf>
    <xf numFmtId="167" fontId="3" fillId="3" borderId="35" xfId="9" applyFont="1" applyFill="1" applyBorder="1" applyAlignment="1" applyProtection="1">
      <alignment horizontal="center" vertical="center"/>
      <protection locked="0"/>
    </xf>
    <xf numFmtId="167" fontId="3" fillId="3" borderId="21" xfId="9" applyFont="1" applyFill="1" applyBorder="1" applyAlignment="1" applyProtection="1">
      <alignment horizontal="center" vertical="center"/>
      <protection locked="0"/>
    </xf>
    <xf numFmtId="0" fontId="9" fillId="10" borderId="1" xfId="0" applyFont="1" applyFill="1" applyBorder="1" applyAlignment="1" applyProtection="1">
      <alignment horizontal="center" vertical="center" wrapText="1"/>
      <protection locked="0"/>
    </xf>
    <xf numFmtId="9" fontId="9" fillId="10" borderId="1" xfId="3" applyFont="1" applyFill="1" applyBorder="1" applyAlignment="1" applyProtection="1">
      <alignment horizontal="center" vertical="center" wrapText="1"/>
      <protection locked="0"/>
    </xf>
    <xf numFmtId="9" fontId="9" fillId="10" borderId="6" xfId="3" applyFont="1" applyFill="1" applyBorder="1" applyAlignment="1" applyProtection="1">
      <alignment horizontal="center" vertical="center" wrapText="1"/>
      <protection locked="0"/>
    </xf>
    <xf numFmtId="0" fontId="9" fillId="10" borderId="6" xfId="0" applyFont="1" applyFill="1" applyBorder="1" applyAlignment="1" applyProtection="1">
      <alignment horizontal="center" vertical="center" wrapText="1"/>
      <protection locked="0"/>
    </xf>
    <xf numFmtId="0" fontId="9" fillId="10" borderId="10" xfId="0" applyFont="1" applyFill="1" applyBorder="1" applyAlignment="1" applyProtection="1">
      <alignment horizontal="center" vertical="center" wrapText="1"/>
      <protection locked="0"/>
    </xf>
    <xf numFmtId="185" fontId="3" fillId="6" borderId="49" xfId="9" applyNumberFormat="1" applyFont="1" applyFill="1" applyBorder="1" applyAlignment="1" applyProtection="1">
      <alignment horizontal="center" vertical="center" wrapText="1"/>
      <protection locked="0"/>
    </xf>
    <xf numFmtId="185" fontId="3" fillId="6" borderId="46" xfId="9" applyNumberFormat="1" applyFont="1" applyFill="1" applyBorder="1" applyAlignment="1" applyProtection="1">
      <alignment horizontal="center" vertical="center" wrapText="1"/>
      <protection locked="0"/>
    </xf>
    <xf numFmtId="167" fontId="3" fillId="3" borderId="19" xfId="9" applyFont="1" applyFill="1" applyBorder="1" applyAlignment="1" applyProtection="1">
      <alignment horizontal="center" vertical="center" wrapText="1"/>
      <protection locked="0"/>
    </xf>
    <xf numFmtId="167" fontId="3" fillId="3" borderId="27" xfId="9" applyFont="1" applyFill="1" applyBorder="1" applyAlignment="1" applyProtection="1">
      <alignment horizontal="center" vertical="center" wrapText="1"/>
      <protection locked="0"/>
    </xf>
    <xf numFmtId="167" fontId="3" fillId="3" borderId="29" xfId="9" applyFont="1" applyFill="1" applyBorder="1" applyAlignment="1" applyProtection="1">
      <alignment horizontal="center" vertical="center" wrapText="1"/>
      <protection locked="0"/>
    </xf>
    <xf numFmtId="167" fontId="3" fillId="3" borderId="20" xfId="9" applyFont="1" applyFill="1" applyBorder="1" applyAlignment="1" applyProtection="1">
      <alignment horizontal="center" vertical="center" wrapText="1"/>
      <protection locked="0"/>
    </xf>
    <xf numFmtId="167" fontId="3" fillId="3" borderId="21" xfId="9" applyFont="1" applyFill="1" applyBorder="1" applyAlignment="1" applyProtection="1">
      <alignment horizontal="center" vertical="center" wrapText="1"/>
      <protection locked="0"/>
    </xf>
    <xf numFmtId="167" fontId="3" fillId="3" borderId="15" xfId="9" applyFont="1" applyFill="1" applyBorder="1" applyAlignment="1" applyProtection="1">
      <alignment horizontal="center" vertical="center" wrapText="1"/>
      <protection locked="0"/>
    </xf>
    <xf numFmtId="167" fontId="3" fillId="3" borderId="14" xfId="9" applyFont="1" applyFill="1" applyBorder="1" applyAlignment="1" applyProtection="1">
      <alignment horizontal="center" vertical="center" wrapText="1"/>
      <protection locked="0"/>
    </xf>
    <xf numFmtId="167" fontId="3" fillId="3" borderId="8" xfId="9" applyFont="1" applyFill="1" applyBorder="1" applyAlignment="1" applyProtection="1">
      <alignment horizontal="center" vertical="center" wrapText="1"/>
      <protection locked="0"/>
    </xf>
    <xf numFmtId="167" fontId="3" fillId="3" borderId="9" xfId="9" applyFont="1" applyFill="1" applyBorder="1" applyAlignment="1" applyProtection="1">
      <alignment horizontal="center" vertical="center" wrapText="1"/>
      <protection locked="0"/>
    </xf>
    <xf numFmtId="167" fontId="3" fillId="3" borderId="22" xfId="9" applyFont="1" applyFill="1" applyBorder="1" applyAlignment="1" applyProtection="1">
      <alignment horizontal="center" vertical="center" wrapText="1"/>
      <protection locked="0"/>
    </xf>
    <xf numFmtId="167" fontId="3" fillId="3" borderId="13" xfId="9" applyFont="1" applyFill="1" applyBorder="1" applyAlignment="1" applyProtection="1">
      <alignment horizontal="center" vertical="center" wrapText="1"/>
      <protection locked="0"/>
    </xf>
    <xf numFmtId="167" fontId="3" fillId="3" borderId="10" xfId="9" applyFont="1" applyFill="1" applyBorder="1" applyAlignment="1" applyProtection="1">
      <alignment horizontal="center" vertical="center" wrapText="1"/>
      <protection locked="0"/>
    </xf>
    <xf numFmtId="172" fontId="9" fillId="10" borderId="1" xfId="8" applyNumberFormat="1" applyFont="1" applyFill="1" applyBorder="1" applyAlignment="1" applyProtection="1">
      <alignment horizontal="center" vertical="center" wrapText="1"/>
      <protection locked="0"/>
    </xf>
    <xf numFmtId="167" fontId="1" fillId="2" borderId="49" xfId="9" applyFont="1" applyFill="1" applyBorder="1" applyAlignment="1" applyProtection="1">
      <alignment horizontal="center" vertical="center" wrapText="1"/>
      <protection locked="0"/>
    </xf>
    <xf numFmtId="167" fontId="1" fillId="2" borderId="12" xfId="9" applyFont="1" applyFill="1" applyBorder="1" applyAlignment="1" applyProtection="1">
      <alignment horizontal="center" vertical="center" wrapText="1"/>
      <protection locked="0"/>
    </xf>
    <xf numFmtId="167" fontId="1" fillId="2" borderId="5" xfId="9" applyFont="1" applyFill="1" applyBorder="1" applyAlignment="1" applyProtection="1">
      <alignment horizontal="center" vertical="center" wrapText="1"/>
      <protection locked="0"/>
    </xf>
    <xf numFmtId="167" fontId="1" fillId="2" borderId="36" xfId="9" applyFont="1" applyFill="1" applyBorder="1" applyAlignment="1" applyProtection="1">
      <alignment horizontal="center" vertical="center" wrapText="1"/>
      <protection locked="0"/>
    </xf>
    <xf numFmtId="167" fontId="1" fillId="2" borderId="0" xfId="9" applyFont="1" applyFill="1" applyBorder="1" applyAlignment="1" applyProtection="1">
      <alignment horizontal="center" vertical="center" wrapText="1"/>
      <protection locked="0"/>
    </xf>
    <xf numFmtId="167" fontId="1" fillId="2" borderId="14" xfId="9" applyFont="1" applyFill="1" applyBorder="1" applyAlignment="1" applyProtection="1">
      <alignment horizontal="center" vertical="center" wrapText="1"/>
      <protection locked="0"/>
    </xf>
    <xf numFmtId="167" fontId="1" fillId="2" borderId="57" xfId="9" applyFont="1" applyFill="1" applyBorder="1" applyAlignment="1" applyProtection="1">
      <alignment horizontal="center" vertical="center" wrapText="1"/>
      <protection locked="0"/>
    </xf>
    <xf numFmtId="167" fontId="1" fillId="2" borderId="37" xfId="9" applyFont="1" applyFill="1" applyBorder="1" applyAlignment="1" applyProtection="1">
      <alignment horizontal="center" vertical="center" wrapText="1"/>
      <protection locked="0"/>
    </xf>
    <xf numFmtId="167" fontId="1" fillId="2" borderId="32" xfId="9" applyFont="1" applyFill="1" applyBorder="1" applyAlignment="1" applyProtection="1">
      <alignment horizontal="center" vertical="center" wrapText="1"/>
      <protection locked="0"/>
    </xf>
    <xf numFmtId="167" fontId="1" fillId="2" borderId="3" xfId="9" applyFont="1" applyFill="1" applyBorder="1" applyAlignment="1" applyProtection="1">
      <alignment horizontal="center" vertical="center" wrapText="1"/>
      <protection locked="0"/>
    </xf>
    <xf numFmtId="167" fontId="1" fillId="2" borderId="1" xfId="9" applyFont="1" applyFill="1" applyBorder="1" applyAlignment="1" applyProtection="1">
      <alignment horizontal="center" vertical="center" wrapText="1"/>
      <protection locked="0"/>
    </xf>
    <xf numFmtId="167" fontId="1" fillId="2" borderId="7" xfId="9" applyFont="1" applyFill="1" applyBorder="1" applyAlignment="1" applyProtection="1">
      <alignment horizontal="center" vertical="center" wrapText="1"/>
      <protection locked="0"/>
    </xf>
    <xf numFmtId="167" fontId="1" fillId="2" borderId="6" xfId="9" applyFont="1" applyFill="1" applyBorder="1" applyAlignment="1" applyProtection="1">
      <alignment horizontal="center" vertical="center" wrapText="1"/>
      <protection locked="0"/>
    </xf>
    <xf numFmtId="167" fontId="1" fillId="2" borderId="4" xfId="9" applyFont="1" applyFill="1" applyBorder="1" applyAlignment="1" applyProtection="1">
      <alignment horizontal="center" vertical="center" wrapText="1"/>
      <protection locked="0"/>
    </xf>
    <xf numFmtId="185" fontId="1" fillId="2" borderId="1" xfId="9" applyNumberFormat="1" applyFont="1" applyFill="1" applyBorder="1" applyAlignment="1" applyProtection="1">
      <alignment horizontal="center" vertical="center" wrapText="1"/>
      <protection locked="0"/>
    </xf>
    <xf numFmtId="167" fontId="1" fillId="2" borderId="1" xfId="9" applyFont="1" applyFill="1" applyBorder="1" applyAlignment="1" applyProtection="1">
      <alignment horizontal="justify" vertical="center" wrapText="1"/>
      <protection locked="0"/>
    </xf>
    <xf numFmtId="1" fontId="1" fillId="0" borderId="6" xfId="9" applyNumberFormat="1" applyFont="1" applyFill="1" applyBorder="1" applyAlignment="1" applyProtection="1">
      <alignment horizontal="center" vertical="center" wrapText="1"/>
      <protection locked="0"/>
    </xf>
    <xf numFmtId="1" fontId="1" fillId="0" borderId="13" xfId="9" applyNumberFormat="1" applyFont="1" applyFill="1" applyBorder="1" applyAlignment="1" applyProtection="1">
      <alignment horizontal="center" vertical="center" wrapText="1"/>
      <protection locked="0"/>
    </xf>
    <xf numFmtId="1" fontId="1" fillId="0" borderId="17" xfId="9" applyNumberFormat="1" applyFont="1" applyFill="1" applyBorder="1" applyAlignment="1" applyProtection="1">
      <alignment horizontal="center" vertical="center" wrapText="1"/>
      <protection locked="0"/>
    </xf>
    <xf numFmtId="167" fontId="1" fillId="0" borderId="6" xfId="9" applyFont="1" applyFill="1" applyBorder="1" applyAlignment="1" applyProtection="1">
      <alignment horizontal="justify" vertical="center" wrapText="1"/>
      <protection locked="0"/>
    </xf>
    <xf numFmtId="167" fontId="1" fillId="0" borderId="13" xfId="9" applyFont="1" applyFill="1" applyBorder="1" applyAlignment="1" applyProtection="1">
      <alignment horizontal="justify" vertical="center" wrapText="1"/>
      <protection locked="0"/>
    </xf>
    <xf numFmtId="167" fontId="1" fillId="0" borderId="17" xfId="9" applyFont="1" applyFill="1" applyBorder="1" applyAlignment="1" applyProtection="1">
      <alignment horizontal="justify" vertical="center" wrapText="1"/>
      <protection locked="0"/>
    </xf>
    <xf numFmtId="0" fontId="3" fillId="3" borderId="22" xfId="9" applyNumberFormat="1" applyFont="1" applyFill="1" applyBorder="1" applyAlignment="1" applyProtection="1">
      <alignment horizontal="center" vertical="center" wrapText="1"/>
      <protection locked="0"/>
    </xf>
    <xf numFmtId="0" fontId="3" fillId="3" borderId="13" xfId="9" applyNumberFormat="1" applyFont="1" applyFill="1" applyBorder="1" applyAlignment="1" applyProtection="1">
      <alignment horizontal="center" vertical="center" wrapText="1"/>
      <protection locked="0"/>
    </xf>
    <xf numFmtId="0" fontId="3" fillId="3" borderId="10" xfId="9" applyNumberFormat="1" applyFont="1" applyFill="1" applyBorder="1" applyAlignment="1" applyProtection="1">
      <alignment horizontal="center" vertical="center" wrapText="1"/>
      <protection locked="0"/>
    </xf>
    <xf numFmtId="170" fontId="3" fillId="3" borderId="22" xfId="9" applyNumberFormat="1" applyFont="1" applyFill="1" applyBorder="1" applyAlignment="1" applyProtection="1">
      <alignment horizontal="center" vertical="center" wrapText="1"/>
      <protection locked="0"/>
    </xf>
    <xf numFmtId="170" fontId="3" fillId="3" borderId="13" xfId="9" applyNumberFormat="1" applyFont="1" applyFill="1" applyBorder="1" applyAlignment="1" applyProtection="1">
      <alignment horizontal="center" vertical="center" wrapText="1"/>
      <protection locked="0"/>
    </xf>
    <xf numFmtId="170" fontId="3" fillId="3" borderId="10" xfId="9" applyNumberFormat="1" applyFont="1" applyFill="1" applyBorder="1" applyAlignment="1" applyProtection="1">
      <alignment horizontal="center" vertical="center" wrapText="1"/>
      <protection locked="0"/>
    </xf>
    <xf numFmtId="170" fontId="3" fillId="3" borderId="20" xfId="9" applyNumberFormat="1" applyFont="1" applyFill="1" applyBorder="1" applyAlignment="1" applyProtection="1">
      <alignment horizontal="center" vertical="center" wrapText="1"/>
      <protection locked="0"/>
    </xf>
    <xf numFmtId="170" fontId="3" fillId="3" borderId="35" xfId="9" applyNumberFormat="1" applyFont="1" applyFill="1" applyBorder="1" applyAlignment="1" applyProtection="1">
      <alignment horizontal="center" vertical="center" wrapText="1"/>
      <protection locked="0"/>
    </xf>
    <xf numFmtId="170" fontId="3" fillId="3" borderId="21" xfId="9" applyNumberFormat="1" applyFont="1" applyFill="1" applyBorder="1" applyAlignment="1" applyProtection="1">
      <alignment horizontal="center" vertical="center" wrapText="1"/>
      <protection locked="0"/>
    </xf>
    <xf numFmtId="170" fontId="3" fillId="3" borderId="15" xfId="9" applyNumberFormat="1" applyFont="1" applyFill="1" applyBorder="1" applyAlignment="1" applyProtection="1">
      <alignment horizontal="center" vertical="center" wrapText="1"/>
      <protection locked="0"/>
    </xf>
    <xf numFmtId="170" fontId="3" fillId="3" borderId="0" xfId="9" applyNumberFormat="1" applyFont="1" applyFill="1" applyBorder="1" applyAlignment="1" applyProtection="1">
      <alignment horizontal="center" vertical="center" wrapText="1"/>
      <protection locked="0"/>
    </xf>
    <xf numFmtId="170" fontId="3" fillId="3" borderId="14" xfId="9" applyNumberFormat="1" applyFont="1" applyFill="1" applyBorder="1" applyAlignment="1" applyProtection="1">
      <alignment horizontal="center" vertical="center" wrapText="1"/>
      <protection locked="0"/>
    </xf>
    <xf numFmtId="170" fontId="1" fillId="0" borderId="6" xfId="9" applyNumberFormat="1" applyFont="1" applyFill="1" applyBorder="1" applyAlignment="1" applyProtection="1">
      <alignment horizontal="center" vertical="center"/>
      <protection locked="0"/>
    </xf>
    <xf numFmtId="170" fontId="1" fillId="0" borderId="13" xfId="9" applyNumberFormat="1" applyFont="1" applyFill="1" applyBorder="1" applyAlignment="1" applyProtection="1">
      <alignment horizontal="center" vertical="center"/>
      <protection locked="0"/>
    </xf>
    <xf numFmtId="9" fontId="1" fillId="2" borderId="6" xfId="5" applyFont="1" applyFill="1" applyBorder="1" applyAlignment="1" applyProtection="1">
      <alignment horizontal="center" vertical="center" wrapText="1"/>
      <protection locked="0"/>
    </xf>
    <xf numFmtId="9" fontId="1" fillId="2" borderId="13" xfId="5" applyFont="1" applyFill="1" applyBorder="1" applyAlignment="1" applyProtection="1">
      <alignment horizontal="center" vertical="center" wrapText="1"/>
      <protection locked="0"/>
    </xf>
    <xf numFmtId="9" fontId="1" fillId="2" borderId="10" xfId="5" applyFont="1" applyFill="1" applyBorder="1" applyAlignment="1" applyProtection="1">
      <alignment horizontal="center" vertical="center" wrapText="1"/>
      <protection locked="0"/>
    </xf>
    <xf numFmtId="170" fontId="1" fillId="2" borderId="1" xfId="9" applyNumberFormat="1" applyFont="1" applyFill="1" applyBorder="1" applyAlignment="1" applyProtection="1">
      <alignment horizontal="center" vertical="center" wrapText="1"/>
      <protection locked="0"/>
    </xf>
    <xf numFmtId="170" fontId="1" fillId="0" borderId="6" xfId="9" applyNumberFormat="1" applyFont="1" applyFill="1" applyBorder="1" applyAlignment="1" applyProtection="1">
      <alignment horizontal="center" vertical="center" wrapText="1"/>
      <protection locked="0"/>
    </xf>
    <xf numFmtId="170" fontId="1" fillId="0" borderId="13" xfId="9" applyNumberFormat="1" applyFont="1" applyFill="1" applyBorder="1" applyAlignment="1" applyProtection="1">
      <alignment horizontal="center" vertical="center" wrapText="1"/>
      <protection locked="0"/>
    </xf>
    <xf numFmtId="170" fontId="1" fillId="0" borderId="10" xfId="9" applyNumberFormat="1" applyFont="1" applyFill="1" applyBorder="1" applyAlignment="1" applyProtection="1">
      <alignment horizontal="center" vertical="center" wrapText="1"/>
      <protection locked="0"/>
    </xf>
    <xf numFmtId="185" fontId="12" fillId="2" borderId="6" xfId="9" applyNumberFormat="1" applyFont="1" applyFill="1" applyBorder="1" applyAlignment="1" applyProtection="1">
      <alignment horizontal="center" vertical="center" wrapText="1"/>
      <protection locked="0"/>
    </xf>
    <xf numFmtId="185" fontId="12" fillId="2" borderId="13" xfId="9" applyNumberFormat="1" applyFont="1" applyFill="1" applyBorder="1" applyAlignment="1" applyProtection="1">
      <alignment horizontal="center" vertical="center" wrapText="1"/>
      <protection locked="0"/>
    </xf>
    <xf numFmtId="185" fontId="12" fillId="2" borderId="10" xfId="9" applyNumberFormat="1" applyFont="1" applyFill="1" applyBorder="1" applyAlignment="1" applyProtection="1">
      <alignment horizontal="center" vertical="center" wrapText="1"/>
      <protection locked="0"/>
    </xf>
    <xf numFmtId="0" fontId="1" fillId="2" borderId="1" xfId="9" applyNumberFormat="1" applyFont="1" applyFill="1" applyBorder="1" applyAlignment="1" applyProtection="1">
      <alignment horizontal="center" vertical="center" wrapText="1"/>
      <protection locked="0"/>
    </xf>
    <xf numFmtId="172" fontId="1" fillId="2" borderId="1" xfId="8" applyNumberFormat="1" applyFont="1" applyFill="1" applyBorder="1" applyAlignment="1" applyProtection="1">
      <alignment horizontal="center" vertical="center" wrapText="1"/>
      <protection locked="0"/>
    </xf>
    <xf numFmtId="170" fontId="12" fillId="0" borderId="6" xfId="9" applyNumberFormat="1" applyFont="1" applyFill="1" applyBorder="1" applyAlignment="1" applyProtection="1">
      <alignment horizontal="center" vertical="center" wrapText="1"/>
      <protection locked="0"/>
    </xf>
    <xf numFmtId="170" fontId="12" fillId="0" borderId="13" xfId="9" applyNumberFormat="1" applyFont="1" applyFill="1" applyBorder="1" applyAlignment="1" applyProtection="1">
      <alignment horizontal="center" vertical="center" wrapText="1"/>
      <protection locked="0"/>
    </xf>
    <xf numFmtId="170" fontId="12" fillId="0" borderId="10" xfId="9" applyNumberFormat="1" applyFont="1" applyFill="1" applyBorder="1" applyAlignment="1" applyProtection="1">
      <alignment horizontal="center" vertical="center" wrapText="1"/>
      <protection locked="0"/>
    </xf>
    <xf numFmtId="0" fontId="1" fillId="0" borderId="1" xfId="9" applyNumberFormat="1" applyFont="1" applyFill="1" applyBorder="1" applyAlignment="1" applyProtection="1">
      <alignment horizontal="center" vertical="center" wrapText="1"/>
      <protection locked="0"/>
    </xf>
    <xf numFmtId="167" fontId="1" fillId="0" borderId="1" xfId="9" applyFont="1" applyFill="1" applyBorder="1" applyAlignment="1" applyProtection="1">
      <alignment horizontal="center" vertical="center" wrapText="1"/>
      <protection locked="0"/>
    </xf>
    <xf numFmtId="170" fontId="12" fillId="0" borderId="6" xfId="9" applyNumberFormat="1" applyFont="1" applyFill="1" applyBorder="1" applyAlignment="1" applyProtection="1">
      <alignment horizontal="center" vertical="center"/>
      <protection locked="0"/>
    </xf>
    <xf numFmtId="170" fontId="12" fillId="0" borderId="13" xfId="9" applyNumberFormat="1" applyFont="1" applyFill="1" applyBorder="1" applyAlignment="1" applyProtection="1">
      <alignment horizontal="center" vertical="center"/>
      <protection locked="0"/>
    </xf>
    <xf numFmtId="170" fontId="12" fillId="0" borderId="10" xfId="9" applyNumberFormat="1" applyFont="1" applyFill="1" applyBorder="1" applyAlignment="1" applyProtection="1">
      <alignment horizontal="center" vertical="center"/>
      <protection locked="0"/>
    </xf>
    <xf numFmtId="0" fontId="1" fillId="0" borderId="6" xfId="9" applyNumberFormat="1" applyFont="1" applyFill="1" applyBorder="1" applyAlignment="1" applyProtection="1">
      <alignment horizontal="center" vertical="center" wrapText="1"/>
      <protection locked="0"/>
    </xf>
    <xf numFmtId="0" fontId="1" fillId="0" borderId="13" xfId="9" applyNumberFormat="1" applyFont="1" applyFill="1" applyBorder="1" applyAlignment="1" applyProtection="1">
      <alignment horizontal="center" vertical="center" wrapText="1"/>
      <protection locked="0"/>
    </xf>
    <xf numFmtId="0" fontId="1" fillId="0" borderId="10" xfId="9" applyNumberFormat="1" applyFont="1" applyFill="1" applyBorder="1" applyAlignment="1" applyProtection="1">
      <alignment horizontal="center" vertical="center" wrapText="1"/>
      <protection locked="0"/>
    </xf>
    <xf numFmtId="0" fontId="1" fillId="0" borderId="6" xfId="9" applyNumberFormat="1" applyFont="1" applyFill="1" applyBorder="1" applyAlignment="1" applyProtection="1">
      <alignment horizontal="center" vertical="center"/>
      <protection locked="0"/>
    </xf>
    <xf numFmtId="0" fontId="1" fillId="0" borderId="13" xfId="9" applyNumberFormat="1" applyFont="1" applyFill="1" applyBorder="1" applyAlignment="1" applyProtection="1">
      <alignment horizontal="center" vertical="center"/>
      <protection locked="0"/>
    </xf>
    <xf numFmtId="0" fontId="1" fillId="0" borderId="10" xfId="9" applyNumberFormat="1" applyFont="1" applyFill="1" applyBorder="1" applyAlignment="1" applyProtection="1">
      <alignment horizontal="center" vertical="center"/>
      <protection locked="0"/>
    </xf>
    <xf numFmtId="14" fontId="1" fillId="2" borderId="6" xfId="9" applyNumberFormat="1" applyFont="1" applyFill="1" applyBorder="1" applyAlignment="1" applyProtection="1">
      <alignment horizontal="center" vertical="center" wrapText="1"/>
      <protection locked="0"/>
    </xf>
    <xf numFmtId="14" fontId="1" fillId="2" borderId="13" xfId="9" applyNumberFormat="1" applyFont="1" applyFill="1" applyBorder="1" applyAlignment="1" applyProtection="1">
      <alignment horizontal="center" vertical="center" wrapText="1"/>
      <protection locked="0"/>
    </xf>
    <xf numFmtId="14" fontId="1" fillId="2" borderId="10" xfId="9" applyNumberFormat="1" applyFont="1" applyFill="1" applyBorder="1" applyAlignment="1" applyProtection="1">
      <alignment horizontal="center" vertical="center" wrapText="1"/>
      <protection locked="0"/>
    </xf>
    <xf numFmtId="49" fontId="12" fillId="2" borderId="1" xfId="9" applyNumberFormat="1" applyFont="1" applyFill="1" applyBorder="1" applyAlignment="1" applyProtection="1">
      <alignment horizontal="center" vertical="center" wrapText="1"/>
      <protection locked="0"/>
    </xf>
    <xf numFmtId="167" fontId="1" fillId="2" borderId="33" xfId="9" applyFont="1" applyFill="1" applyBorder="1" applyAlignment="1" applyProtection="1">
      <alignment horizontal="center" vertical="center" wrapText="1"/>
      <protection locked="0"/>
    </xf>
    <xf numFmtId="9" fontId="1" fillId="2" borderId="1" xfId="5" applyFont="1" applyFill="1" applyBorder="1" applyAlignment="1" applyProtection="1">
      <alignment horizontal="center" vertical="center" wrapText="1"/>
      <protection locked="0"/>
    </xf>
    <xf numFmtId="167" fontId="1" fillId="2" borderId="62" xfId="9" applyFont="1" applyFill="1" applyBorder="1" applyAlignment="1" applyProtection="1">
      <alignment horizontal="justify" vertical="center" wrapText="1"/>
      <protection locked="0"/>
    </xf>
    <xf numFmtId="3" fontId="1" fillId="2" borderId="1" xfId="9" applyNumberFormat="1" applyFont="1" applyFill="1" applyBorder="1" applyAlignment="1" applyProtection="1">
      <alignment horizontal="center" vertical="center" wrapText="1"/>
      <protection locked="0"/>
    </xf>
    <xf numFmtId="49" fontId="1" fillId="2" borderId="6" xfId="9" applyNumberFormat="1" applyFont="1" applyFill="1" applyBorder="1" applyAlignment="1" applyProtection="1">
      <alignment horizontal="center" vertical="center" wrapText="1"/>
      <protection locked="0"/>
    </xf>
    <xf numFmtId="49" fontId="1" fillId="2" borderId="13" xfId="9" applyNumberFormat="1" applyFont="1" applyFill="1" applyBorder="1" applyAlignment="1" applyProtection="1">
      <alignment horizontal="center" vertical="center" wrapText="1"/>
      <protection locked="0"/>
    </xf>
    <xf numFmtId="49" fontId="1" fillId="2" borderId="10" xfId="9" applyNumberFormat="1" applyFont="1" applyFill="1" applyBorder="1" applyAlignment="1" applyProtection="1">
      <alignment horizontal="center" vertical="center" wrapText="1"/>
      <protection locked="0"/>
    </xf>
    <xf numFmtId="3" fontId="1" fillId="2" borderId="6" xfId="9" applyNumberFormat="1" applyFont="1" applyFill="1" applyBorder="1" applyAlignment="1" applyProtection="1">
      <alignment horizontal="center" vertical="center" textRotation="1" wrapText="1"/>
      <protection locked="0"/>
    </xf>
    <xf numFmtId="3" fontId="1" fillId="2" borderId="13" xfId="9" applyNumberFormat="1" applyFont="1" applyFill="1" applyBorder="1" applyAlignment="1" applyProtection="1">
      <alignment horizontal="center" vertical="center" textRotation="1" wrapText="1"/>
      <protection locked="0"/>
    </xf>
    <xf numFmtId="3" fontId="1" fillId="2" borderId="10" xfId="9" applyNumberFormat="1" applyFont="1" applyFill="1" applyBorder="1" applyAlignment="1" applyProtection="1">
      <alignment horizontal="center" vertical="center" textRotation="1" wrapText="1"/>
      <protection locked="0"/>
    </xf>
    <xf numFmtId="185" fontId="1" fillId="0" borderId="10" xfId="9" applyNumberFormat="1" applyFont="1" applyFill="1" applyBorder="1" applyAlignment="1" applyProtection="1">
      <alignment horizontal="center" vertical="center"/>
      <protection locked="0"/>
    </xf>
    <xf numFmtId="185" fontId="1" fillId="0" borderId="1" xfId="9" applyNumberFormat="1" applyFont="1" applyFill="1" applyBorder="1" applyAlignment="1" applyProtection="1">
      <alignment horizontal="center" vertical="center"/>
      <protection locked="0"/>
    </xf>
    <xf numFmtId="167" fontId="1" fillId="0" borderId="10" xfId="9" applyFont="1" applyFill="1" applyBorder="1" applyAlignment="1" applyProtection="1">
      <alignment horizontal="justify" vertical="center" wrapText="1"/>
      <protection locked="0"/>
    </xf>
    <xf numFmtId="167" fontId="1" fillId="0" borderId="1" xfId="9" applyFont="1" applyFill="1" applyBorder="1" applyAlignment="1" applyProtection="1">
      <alignment horizontal="justify" vertical="center" wrapText="1"/>
      <protection locked="0"/>
    </xf>
    <xf numFmtId="167" fontId="1" fillId="2" borderId="13" xfId="9" applyFont="1" applyFill="1" applyBorder="1" applyAlignment="1" applyProtection="1">
      <alignment horizontal="center" vertical="center"/>
      <protection locked="0"/>
    </xf>
    <xf numFmtId="188" fontId="1" fillId="2" borderId="10" xfId="9" applyNumberFormat="1" applyFont="1" applyFill="1" applyBorder="1" applyAlignment="1" applyProtection="1">
      <alignment horizontal="center" vertical="center"/>
      <protection locked="0"/>
    </xf>
    <xf numFmtId="188" fontId="1" fillId="2" borderId="1" xfId="9" applyNumberFormat="1" applyFont="1" applyFill="1" applyBorder="1" applyAlignment="1" applyProtection="1">
      <alignment horizontal="center" vertical="center"/>
      <protection locked="0"/>
    </xf>
    <xf numFmtId="185" fontId="12" fillId="2" borderId="6" xfId="9" applyNumberFormat="1" applyFont="1" applyFill="1" applyBorder="1" applyAlignment="1" applyProtection="1">
      <alignment horizontal="center" vertical="center"/>
      <protection locked="0"/>
    </xf>
    <xf numFmtId="185" fontId="12" fillId="2" borderId="13" xfId="9" applyNumberFormat="1" applyFont="1" applyFill="1" applyBorder="1" applyAlignment="1" applyProtection="1">
      <alignment horizontal="center" vertical="center"/>
      <protection locked="0"/>
    </xf>
    <xf numFmtId="185" fontId="12" fillId="2" borderId="10" xfId="9" applyNumberFormat="1" applyFont="1" applyFill="1" applyBorder="1" applyAlignment="1" applyProtection="1">
      <alignment horizontal="center" vertical="center"/>
      <protection locked="0"/>
    </xf>
    <xf numFmtId="167" fontId="1" fillId="2" borderId="13" xfId="9" applyFont="1" applyFill="1" applyBorder="1" applyAlignment="1" applyProtection="1">
      <alignment horizontal="center" vertical="center" wrapText="1"/>
      <protection locked="0"/>
    </xf>
    <xf numFmtId="167" fontId="1" fillId="2" borderId="10" xfId="9" applyFont="1" applyFill="1" applyBorder="1" applyAlignment="1" applyProtection="1">
      <alignment horizontal="center" vertical="center" wrapText="1"/>
      <protection locked="0"/>
    </xf>
    <xf numFmtId="0" fontId="1" fillId="2" borderId="13" xfId="9" applyNumberFormat="1" applyFont="1" applyFill="1" applyBorder="1" applyAlignment="1" applyProtection="1">
      <alignment horizontal="center" vertical="center" wrapText="1"/>
      <protection locked="0"/>
    </xf>
    <xf numFmtId="167" fontId="1" fillId="2" borderId="10" xfId="9" applyFont="1" applyFill="1" applyBorder="1" applyAlignment="1" applyProtection="1">
      <alignment horizontal="justify" vertical="center" wrapText="1"/>
      <protection locked="0"/>
    </xf>
    <xf numFmtId="167" fontId="1" fillId="2" borderId="6" xfId="9" applyFont="1" applyFill="1" applyBorder="1" applyAlignment="1" applyProtection="1">
      <alignment horizontal="justify" vertical="center" wrapText="1"/>
      <protection locked="0"/>
    </xf>
    <xf numFmtId="185" fontId="1" fillId="2" borderId="1" xfId="9" applyNumberFormat="1" applyFont="1" applyFill="1" applyBorder="1" applyAlignment="1" applyProtection="1">
      <alignment horizontal="center" vertical="center"/>
      <protection locked="0"/>
    </xf>
    <xf numFmtId="185" fontId="1" fillId="2" borderId="6" xfId="9" applyNumberFormat="1" applyFont="1" applyFill="1" applyBorder="1" applyAlignment="1" applyProtection="1">
      <alignment horizontal="center" vertical="center"/>
      <protection locked="0"/>
    </xf>
    <xf numFmtId="185" fontId="3" fillId="7" borderId="12" xfId="9" applyNumberFormat="1" applyFont="1" applyFill="1" applyBorder="1" applyAlignment="1" applyProtection="1">
      <alignment horizontal="center" vertical="center" wrapText="1"/>
      <protection locked="0"/>
    </xf>
    <xf numFmtId="185" fontId="3" fillId="7" borderId="2" xfId="9" applyNumberFormat="1" applyFont="1" applyFill="1" applyBorder="1" applyAlignment="1" applyProtection="1">
      <alignment horizontal="center" vertical="center" wrapText="1"/>
      <protection locked="0"/>
    </xf>
    <xf numFmtId="9" fontId="1" fillId="2" borderId="6" xfId="5" applyFont="1" applyFill="1" applyBorder="1" applyAlignment="1" applyProtection="1">
      <alignment horizontal="center" vertical="center"/>
      <protection locked="0"/>
    </xf>
    <xf numFmtId="9" fontId="1" fillId="2" borderId="13" xfId="5" applyFont="1" applyFill="1" applyBorder="1" applyAlignment="1" applyProtection="1">
      <alignment horizontal="center" vertical="center"/>
      <protection locked="0"/>
    </xf>
    <xf numFmtId="9" fontId="1" fillId="2" borderId="10" xfId="5" applyFont="1" applyFill="1" applyBorder="1" applyAlignment="1" applyProtection="1">
      <alignment horizontal="center" vertical="center"/>
      <protection locked="0"/>
    </xf>
    <xf numFmtId="167" fontId="7" fillId="2" borderId="6" xfId="9" applyFont="1" applyFill="1" applyBorder="1" applyAlignment="1" applyProtection="1">
      <alignment horizontal="justify" vertical="center" wrapText="1"/>
      <protection locked="0"/>
    </xf>
    <xf numFmtId="167" fontId="7" fillId="2" borderId="13" xfId="9" applyFont="1" applyFill="1" applyBorder="1" applyAlignment="1" applyProtection="1">
      <alignment horizontal="justify" vertical="center" wrapText="1"/>
      <protection locked="0"/>
    </xf>
    <xf numFmtId="170" fontId="1" fillId="2" borderId="13" xfId="9" applyNumberFormat="1" applyFont="1" applyFill="1" applyBorder="1" applyAlignment="1" applyProtection="1">
      <alignment horizontal="center" vertical="center"/>
      <protection locked="0"/>
    </xf>
    <xf numFmtId="167" fontId="7" fillId="2" borderId="10" xfId="9" applyFont="1" applyFill="1" applyBorder="1" applyAlignment="1" applyProtection="1">
      <alignment horizontal="justify" vertical="center" wrapText="1"/>
      <protection locked="0"/>
    </xf>
    <xf numFmtId="170" fontId="1" fillId="0" borderId="10" xfId="9" applyNumberFormat="1" applyFont="1" applyFill="1" applyBorder="1" applyAlignment="1" applyProtection="1">
      <alignment horizontal="center" vertical="center"/>
      <protection locked="0"/>
    </xf>
    <xf numFmtId="185" fontId="12" fillId="2" borderId="1" xfId="9" applyNumberFormat="1" applyFont="1" applyFill="1" applyBorder="1" applyAlignment="1" applyProtection="1">
      <alignment horizontal="center" vertical="center"/>
      <protection locked="0"/>
    </xf>
    <xf numFmtId="9" fontId="1" fillId="2" borderId="1" xfId="5" applyFont="1" applyFill="1" applyBorder="1" applyAlignment="1" applyProtection="1">
      <alignment horizontal="center" vertical="center"/>
      <protection locked="0"/>
    </xf>
    <xf numFmtId="185" fontId="1" fillId="0" borderId="1" xfId="9" applyNumberFormat="1" applyFont="1" applyFill="1" applyBorder="1" applyAlignment="1" applyProtection="1">
      <alignment horizontal="justify" vertical="center" wrapText="1"/>
      <protection locked="0"/>
    </xf>
    <xf numFmtId="167" fontId="1" fillId="0" borderId="0" xfId="9" applyFont="1" applyBorder="1" applyAlignment="1" applyProtection="1">
      <alignment horizontal="center"/>
      <protection locked="0"/>
    </xf>
    <xf numFmtId="167" fontId="1" fillId="0" borderId="14" xfId="9" applyFont="1" applyBorder="1" applyAlignment="1" applyProtection="1">
      <alignment horizontal="center"/>
      <protection locked="0"/>
    </xf>
    <xf numFmtId="167" fontId="1" fillId="0" borderId="2" xfId="9" applyFont="1" applyBorder="1" applyAlignment="1" applyProtection="1">
      <alignment horizontal="center"/>
      <protection locked="0"/>
    </xf>
    <xf numFmtId="0" fontId="1" fillId="2" borderId="6" xfId="9" applyNumberFormat="1" applyFont="1" applyFill="1" applyBorder="1" applyAlignment="1" applyProtection="1">
      <alignment horizontal="center" vertical="center" wrapText="1"/>
      <protection locked="0"/>
    </xf>
    <xf numFmtId="0" fontId="1" fillId="2" borderId="10" xfId="9" applyNumberFormat="1" applyFont="1" applyFill="1" applyBorder="1" applyAlignment="1" applyProtection="1">
      <alignment horizontal="center" vertical="center" wrapText="1"/>
      <protection locked="0"/>
    </xf>
    <xf numFmtId="167" fontId="1" fillId="2" borderId="13" xfId="9" applyFont="1" applyFill="1" applyBorder="1" applyAlignment="1" applyProtection="1">
      <alignment horizontal="justify" vertical="center" wrapText="1"/>
      <protection locked="0"/>
    </xf>
    <xf numFmtId="0" fontId="1" fillId="0" borderId="6"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 fontId="1" fillId="2" borderId="6" xfId="9" applyNumberFormat="1" applyFont="1" applyFill="1" applyBorder="1" applyAlignment="1" applyProtection="1">
      <alignment horizontal="center" vertical="center"/>
      <protection locked="0"/>
    </xf>
    <xf numFmtId="1" fontId="1" fillId="2" borderId="10" xfId="9" applyNumberFormat="1" applyFont="1" applyFill="1" applyBorder="1" applyAlignment="1" applyProtection="1">
      <alignment horizontal="center" vertical="center"/>
      <protection locked="0"/>
    </xf>
    <xf numFmtId="1" fontId="12" fillId="2" borderId="6" xfId="9" applyNumberFormat="1" applyFont="1" applyFill="1" applyBorder="1" applyAlignment="1" applyProtection="1">
      <alignment horizontal="center" vertical="center"/>
      <protection locked="0"/>
    </xf>
    <xf numFmtId="1" fontId="12" fillId="2" borderId="10" xfId="9" applyNumberFormat="1" applyFont="1" applyFill="1" applyBorder="1" applyAlignment="1" applyProtection="1">
      <alignment horizontal="center" vertical="center"/>
      <protection locked="0"/>
    </xf>
    <xf numFmtId="1" fontId="1" fillId="2" borderId="1" xfId="9" applyNumberFormat="1" applyFont="1" applyFill="1" applyBorder="1" applyAlignment="1" applyProtection="1">
      <alignment horizontal="center" vertical="center"/>
      <protection locked="0"/>
    </xf>
    <xf numFmtId="180" fontId="12" fillId="2" borderId="6" xfId="9" applyNumberFormat="1" applyFont="1" applyFill="1" applyBorder="1" applyAlignment="1" applyProtection="1">
      <alignment horizontal="center" vertical="center"/>
      <protection locked="0"/>
    </xf>
    <xf numFmtId="180" fontId="12" fillId="2" borderId="13" xfId="9" applyNumberFormat="1" applyFont="1" applyFill="1" applyBorder="1" applyAlignment="1" applyProtection="1">
      <alignment horizontal="center" vertical="center"/>
      <protection locked="0"/>
    </xf>
    <xf numFmtId="180" fontId="12" fillId="2" borderId="10" xfId="9" applyNumberFormat="1" applyFont="1" applyFill="1" applyBorder="1" applyAlignment="1" applyProtection="1">
      <alignment horizontal="center" vertical="center"/>
      <protection locked="0"/>
    </xf>
    <xf numFmtId="185" fontId="1" fillId="0" borderId="6" xfId="9" applyNumberFormat="1" applyFont="1" applyFill="1" applyBorder="1" applyAlignment="1" applyProtection="1">
      <alignment horizontal="center" vertical="center"/>
      <protection locked="0"/>
    </xf>
    <xf numFmtId="185" fontId="1" fillId="0" borderId="13" xfId="9" applyNumberFormat="1" applyFont="1" applyFill="1" applyBorder="1" applyAlignment="1" applyProtection="1">
      <alignment horizontal="center" vertical="center"/>
      <protection locked="0"/>
    </xf>
    <xf numFmtId="167" fontId="1" fillId="0" borderId="6" xfId="9" applyFont="1" applyFill="1" applyBorder="1" applyAlignment="1" applyProtection="1">
      <alignment horizontal="center" vertical="center" wrapText="1"/>
      <protection locked="0"/>
    </xf>
    <xf numFmtId="167" fontId="1" fillId="0" borderId="13" xfId="9" applyFont="1" applyFill="1" applyBorder="1" applyAlignment="1" applyProtection="1">
      <alignment horizontal="center" vertical="center" wrapText="1"/>
      <protection locked="0"/>
    </xf>
    <xf numFmtId="167" fontId="1" fillId="0" borderId="10" xfId="9" applyFont="1" applyFill="1" applyBorder="1" applyAlignment="1" applyProtection="1">
      <alignment horizontal="center" vertical="center" wrapText="1"/>
      <protection locked="0"/>
    </xf>
    <xf numFmtId="1" fontId="1" fillId="2" borderId="13" xfId="9" applyNumberFormat="1" applyFont="1" applyFill="1" applyBorder="1" applyAlignment="1" applyProtection="1">
      <alignment horizontal="center" vertical="center"/>
      <protection locked="0"/>
    </xf>
    <xf numFmtId="1" fontId="12" fillId="2" borderId="1" xfId="9" applyNumberFormat="1" applyFont="1" applyFill="1" applyBorder="1" applyAlignment="1" applyProtection="1">
      <alignment horizontal="center" vertical="center"/>
      <protection locked="0"/>
    </xf>
    <xf numFmtId="169" fontId="1" fillId="0" borderId="28" xfId="9" applyNumberFormat="1" applyFont="1" applyBorder="1" applyAlignment="1" applyProtection="1">
      <alignment horizontal="center" vertical="center" wrapText="1"/>
      <protection locked="0"/>
    </xf>
    <xf numFmtId="169" fontId="1" fillId="0" borderId="28" xfId="9" applyNumberFormat="1" applyFont="1" applyBorder="1" applyAlignment="1" applyProtection="1">
      <alignment horizontal="center" vertical="center"/>
      <protection locked="0"/>
    </xf>
    <xf numFmtId="169" fontId="1" fillId="0" borderId="30" xfId="9" applyNumberFormat="1" applyFont="1" applyBorder="1" applyAlignment="1" applyProtection="1">
      <alignment horizontal="center" vertical="center"/>
      <protection locked="0"/>
    </xf>
    <xf numFmtId="172" fontId="1" fillId="0" borderId="10" xfId="8" applyNumberFormat="1" applyFont="1" applyFill="1" applyBorder="1" applyAlignment="1" applyProtection="1">
      <alignment horizontal="center" vertical="center"/>
      <protection locked="0"/>
    </xf>
    <xf numFmtId="14" fontId="1" fillId="0" borderId="6" xfId="9" applyNumberFormat="1" applyFont="1" applyBorder="1" applyAlignment="1" applyProtection="1">
      <alignment horizontal="center" vertical="center"/>
      <protection locked="0"/>
    </xf>
    <xf numFmtId="14" fontId="1" fillId="0" borderId="10" xfId="9" applyNumberFormat="1" applyFont="1" applyBorder="1" applyAlignment="1" applyProtection="1">
      <alignment horizontal="center" vertical="center"/>
      <protection locked="0"/>
    </xf>
    <xf numFmtId="14" fontId="12" fillId="0" borderId="6" xfId="9" applyNumberFormat="1" applyFont="1" applyBorder="1" applyAlignment="1" applyProtection="1">
      <alignment horizontal="center" vertical="center"/>
      <protection locked="0"/>
    </xf>
    <xf numFmtId="14" fontId="12" fillId="0" borderId="10" xfId="9" applyNumberFormat="1" applyFont="1" applyBorder="1" applyAlignment="1" applyProtection="1">
      <alignment horizontal="center" vertical="center"/>
      <protection locked="0"/>
    </xf>
    <xf numFmtId="167" fontId="7" fillId="0" borderId="6" xfId="9" applyFont="1" applyFill="1" applyBorder="1" applyAlignment="1" applyProtection="1">
      <alignment horizontal="justify" vertical="center" wrapText="1"/>
      <protection locked="0"/>
    </xf>
    <xf numFmtId="167" fontId="7" fillId="0" borderId="10" xfId="9" applyFont="1" applyFill="1" applyBorder="1" applyAlignment="1" applyProtection="1">
      <alignment horizontal="justify" vertical="center" wrapText="1"/>
      <protection locked="0"/>
    </xf>
    <xf numFmtId="172" fontId="1" fillId="0" borderId="6" xfId="8" applyNumberFormat="1" applyFont="1" applyBorder="1" applyAlignment="1" applyProtection="1">
      <alignment horizontal="center" vertical="center"/>
      <protection locked="0"/>
    </xf>
    <xf numFmtId="172" fontId="1" fillId="0" borderId="10" xfId="8" applyNumberFormat="1" applyFont="1" applyBorder="1" applyAlignment="1" applyProtection="1">
      <alignment horizontal="center" vertical="center"/>
      <protection locked="0"/>
    </xf>
    <xf numFmtId="185" fontId="1" fillId="0" borderId="6" xfId="9" applyNumberFormat="1" applyFont="1" applyBorder="1" applyAlignment="1" applyProtection="1">
      <alignment horizontal="right" vertical="center"/>
      <protection locked="0"/>
    </xf>
    <xf numFmtId="185" fontId="1" fillId="0" borderId="10" xfId="9" applyNumberFormat="1" applyFont="1" applyBorder="1" applyAlignment="1" applyProtection="1">
      <alignment horizontal="right" vertical="center"/>
      <protection locked="0"/>
    </xf>
    <xf numFmtId="167" fontId="1" fillId="7" borderId="45" xfId="9" applyFont="1" applyFill="1" applyBorder="1" applyAlignment="1" applyProtection="1">
      <alignment horizontal="center"/>
      <protection locked="0"/>
    </xf>
    <xf numFmtId="167" fontId="1" fillId="7" borderId="60" xfId="9" applyFont="1" applyFill="1" applyBorder="1" applyAlignment="1" applyProtection="1">
      <alignment horizontal="center"/>
      <protection locked="0"/>
    </xf>
    <xf numFmtId="185" fontId="3" fillId="7" borderId="0" xfId="9" applyNumberFormat="1" applyFont="1" applyFill="1" applyBorder="1" applyAlignment="1" applyProtection="1">
      <alignment horizontal="center" vertical="center" wrapText="1"/>
      <protection locked="0"/>
    </xf>
    <xf numFmtId="167" fontId="1" fillId="0" borderId="6" xfId="9" applyFont="1" applyFill="1" applyBorder="1" applyAlignment="1" applyProtection="1">
      <alignment horizontal="center" vertical="center"/>
      <protection locked="0"/>
    </xf>
    <xf numFmtId="167" fontId="1" fillId="0" borderId="13" xfId="9" applyFont="1" applyFill="1" applyBorder="1" applyAlignment="1" applyProtection="1">
      <alignment horizontal="center" vertical="center"/>
      <protection locked="0"/>
    </xf>
    <xf numFmtId="167" fontId="1" fillId="0" borderId="10" xfId="9" applyFont="1" applyFill="1" applyBorder="1" applyAlignment="1" applyProtection="1">
      <alignment horizontal="center" vertical="center"/>
      <protection locked="0"/>
    </xf>
    <xf numFmtId="185" fontId="12" fillId="0" borderId="6" xfId="9" applyNumberFormat="1" applyFont="1" applyFill="1" applyBorder="1" applyAlignment="1" applyProtection="1">
      <alignment horizontal="center" vertical="center"/>
      <protection locked="0"/>
    </xf>
    <xf numFmtId="185" fontId="12" fillId="0" borderId="13" xfId="9" applyNumberFormat="1" applyFont="1" applyFill="1" applyBorder="1" applyAlignment="1" applyProtection="1">
      <alignment horizontal="center" vertical="center"/>
      <protection locked="0"/>
    </xf>
    <xf numFmtId="185" fontId="12" fillId="0" borderId="10" xfId="9" applyNumberFormat="1" applyFont="1" applyFill="1" applyBorder="1" applyAlignment="1" applyProtection="1">
      <alignment horizontal="center" vertical="center"/>
      <protection locked="0"/>
    </xf>
    <xf numFmtId="172" fontId="1" fillId="0" borderId="13" xfId="8" applyNumberFormat="1" applyFont="1" applyBorder="1" applyAlignment="1" applyProtection="1">
      <alignment horizontal="center" vertical="center"/>
      <protection locked="0"/>
    </xf>
    <xf numFmtId="185" fontId="1" fillId="0" borderId="13" xfId="9" applyNumberFormat="1" applyFont="1" applyBorder="1" applyAlignment="1" applyProtection="1">
      <alignment horizontal="right" vertical="center"/>
      <protection locked="0"/>
    </xf>
    <xf numFmtId="9" fontId="1" fillId="0" borderId="6" xfId="5" applyFont="1" applyBorder="1" applyAlignment="1" applyProtection="1">
      <alignment horizontal="center" vertical="center"/>
      <protection locked="0"/>
    </xf>
    <xf numFmtId="9" fontId="1" fillId="0" borderId="13" xfId="5" applyFont="1" applyBorder="1" applyAlignment="1" applyProtection="1">
      <alignment horizontal="center" vertical="center"/>
      <protection locked="0"/>
    </xf>
    <xf numFmtId="9" fontId="1" fillId="0" borderId="10" xfId="5" applyFont="1" applyBorder="1" applyAlignment="1" applyProtection="1">
      <alignment horizontal="center" vertical="center"/>
      <protection locked="0"/>
    </xf>
    <xf numFmtId="185" fontId="1" fillId="0" borderId="13" xfId="9" applyNumberFormat="1" applyFont="1" applyBorder="1" applyAlignment="1" applyProtection="1">
      <alignment horizontal="center" vertical="center"/>
      <protection locked="0"/>
    </xf>
    <xf numFmtId="185" fontId="1" fillId="0" borderId="6" xfId="9" applyNumberFormat="1" applyFont="1" applyBorder="1" applyAlignment="1" applyProtection="1">
      <alignment horizontal="center" vertical="center" wrapText="1"/>
      <protection locked="0"/>
    </xf>
    <xf numFmtId="185" fontId="1" fillId="0" borderId="13" xfId="9" applyNumberFormat="1" applyFont="1" applyBorder="1" applyAlignment="1" applyProtection="1">
      <alignment horizontal="center" vertical="center" wrapText="1"/>
      <protection locked="0"/>
    </xf>
    <xf numFmtId="185" fontId="1" fillId="0" borderId="10" xfId="9" applyNumberFormat="1" applyFont="1" applyBorder="1" applyAlignment="1" applyProtection="1">
      <alignment horizontal="center" vertical="center" wrapText="1"/>
      <protection locked="0"/>
    </xf>
    <xf numFmtId="14" fontId="1" fillId="0" borderId="13" xfId="9" applyNumberFormat="1" applyFont="1" applyBorder="1" applyAlignment="1" applyProtection="1">
      <alignment horizontal="center" vertical="center"/>
      <protection locked="0"/>
    </xf>
    <xf numFmtId="170" fontId="1" fillId="0" borderId="1" xfId="9" applyNumberFormat="1" applyFont="1" applyFill="1" applyBorder="1" applyAlignment="1" applyProtection="1">
      <alignment horizontal="center" vertical="center"/>
      <protection locked="0"/>
    </xf>
    <xf numFmtId="167" fontId="1" fillId="0" borderId="42" xfId="9" applyFont="1" applyBorder="1" applyAlignment="1" applyProtection="1">
      <alignment horizontal="center" vertical="center" wrapText="1"/>
      <protection locked="0"/>
    </xf>
    <xf numFmtId="167" fontId="1" fillId="0" borderId="28" xfId="9" applyFont="1" applyBorder="1" applyAlignment="1" applyProtection="1">
      <alignment horizontal="center" vertical="center" wrapText="1"/>
      <protection locked="0"/>
    </xf>
    <xf numFmtId="167" fontId="1" fillId="0" borderId="28" xfId="9" applyFont="1" applyBorder="1" applyAlignment="1" applyProtection="1">
      <alignment horizontal="center" vertical="center"/>
      <protection locked="0"/>
    </xf>
    <xf numFmtId="167" fontId="1" fillId="0" borderId="47" xfId="9" applyFont="1" applyBorder="1" applyAlignment="1" applyProtection="1">
      <alignment horizontal="center" vertical="center"/>
      <protection locked="0"/>
    </xf>
    <xf numFmtId="167" fontId="1" fillId="0" borderId="30" xfId="9" applyFont="1" applyBorder="1" applyAlignment="1" applyProtection="1">
      <alignment horizontal="center" vertical="center"/>
      <protection locked="0"/>
    </xf>
    <xf numFmtId="167" fontId="7" fillId="0" borderId="13" xfId="9" applyFont="1" applyFill="1" applyBorder="1" applyAlignment="1" applyProtection="1">
      <alignment horizontal="justify" vertical="center" wrapText="1"/>
      <protection locked="0"/>
    </xf>
    <xf numFmtId="9" fontId="1" fillId="0" borderId="6" xfId="5" applyFont="1" applyFill="1" applyBorder="1" applyAlignment="1" applyProtection="1">
      <alignment horizontal="center" vertical="center"/>
      <protection locked="0"/>
    </xf>
    <xf numFmtId="9" fontId="1" fillId="0" borderId="13" xfId="5" applyFont="1" applyFill="1" applyBorder="1" applyAlignment="1" applyProtection="1">
      <alignment horizontal="center" vertical="center"/>
      <protection locked="0"/>
    </xf>
    <xf numFmtId="9" fontId="1" fillId="0" borderId="10" xfId="5" applyFont="1" applyFill="1" applyBorder="1" applyAlignment="1" applyProtection="1">
      <alignment horizontal="center" vertical="center"/>
      <protection locked="0"/>
    </xf>
    <xf numFmtId="14" fontId="12" fillId="0" borderId="13" xfId="9" applyNumberFormat="1" applyFont="1" applyBorder="1" applyAlignment="1" applyProtection="1">
      <alignment horizontal="center" vertical="center"/>
      <protection locked="0"/>
    </xf>
    <xf numFmtId="167" fontId="1" fillId="0" borderId="45" xfId="9" applyFont="1" applyFill="1" applyBorder="1" applyAlignment="1" applyProtection="1">
      <alignment horizontal="center" vertical="center" wrapText="1"/>
      <protection locked="0"/>
    </xf>
    <xf numFmtId="167" fontId="1" fillId="0" borderId="47" xfId="9" applyFont="1" applyFill="1" applyBorder="1" applyAlignment="1" applyProtection="1">
      <alignment horizontal="center" vertical="center" wrapText="1"/>
      <protection locked="0"/>
    </xf>
    <xf numFmtId="167" fontId="1" fillId="0" borderId="28" xfId="9" applyFont="1" applyFill="1" applyBorder="1" applyAlignment="1" applyProtection="1">
      <alignment horizontal="center" vertical="center" wrapText="1"/>
      <protection locked="0"/>
    </xf>
    <xf numFmtId="167" fontId="1" fillId="0" borderId="60" xfId="9" applyFont="1" applyFill="1" applyBorder="1" applyAlignment="1" applyProtection="1">
      <alignment horizontal="center" vertical="center" wrapText="1"/>
      <protection locked="0"/>
    </xf>
    <xf numFmtId="185" fontId="12" fillId="0" borderId="4" xfId="9" applyNumberFormat="1" applyFont="1" applyFill="1" applyBorder="1" applyAlignment="1" applyProtection="1">
      <alignment horizontal="center" vertical="center" textRotation="180"/>
      <protection locked="0"/>
    </xf>
    <xf numFmtId="185" fontId="12" fillId="0" borderId="15" xfId="9" applyNumberFormat="1" applyFont="1" applyFill="1" applyBorder="1" applyAlignment="1" applyProtection="1">
      <alignment horizontal="center" vertical="center" textRotation="180"/>
      <protection locked="0"/>
    </xf>
    <xf numFmtId="185" fontId="12" fillId="0" borderId="8" xfId="9" applyNumberFormat="1" applyFont="1" applyFill="1" applyBorder="1" applyAlignment="1" applyProtection="1">
      <alignment horizontal="center" vertical="center" textRotation="180"/>
      <protection locked="0"/>
    </xf>
    <xf numFmtId="14" fontId="12" fillId="0" borderId="15" xfId="9" applyNumberFormat="1" applyFont="1" applyFill="1" applyBorder="1" applyAlignment="1" applyProtection="1">
      <alignment horizontal="center" vertical="center"/>
      <protection locked="0"/>
    </xf>
    <xf numFmtId="14" fontId="12" fillId="0" borderId="8" xfId="9" applyNumberFormat="1" applyFont="1" applyFill="1" applyBorder="1" applyAlignment="1" applyProtection="1">
      <alignment horizontal="center" vertical="center"/>
      <protection locked="0"/>
    </xf>
    <xf numFmtId="14" fontId="1" fillId="0" borderId="15" xfId="9" applyNumberFormat="1" applyFont="1" applyFill="1" applyBorder="1" applyAlignment="1" applyProtection="1">
      <alignment horizontal="center" vertical="center"/>
      <protection locked="0"/>
    </xf>
    <xf numFmtId="14" fontId="1" fillId="0" borderId="8" xfId="9" applyNumberFormat="1" applyFont="1" applyFill="1" applyBorder="1" applyAlignment="1" applyProtection="1">
      <alignment horizontal="center" vertical="center"/>
      <protection locked="0"/>
    </xf>
    <xf numFmtId="9" fontId="1" fillId="0" borderId="15" xfId="5" applyFont="1" applyFill="1" applyBorder="1" applyAlignment="1" applyProtection="1">
      <alignment horizontal="center" vertical="center"/>
      <protection locked="0"/>
    </xf>
    <xf numFmtId="9" fontId="1" fillId="0" borderId="8" xfId="5" applyFont="1" applyFill="1" applyBorder="1" applyAlignment="1" applyProtection="1">
      <alignment horizontal="center" vertical="center"/>
      <protection locked="0"/>
    </xf>
    <xf numFmtId="185" fontId="1" fillId="0" borderId="15" xfId="9" applyNumberFormat="1" applyFont="1" applyFill="1" applyBorder="1" applyAlignment="1" applyProtection="1">
      <alignment horizontal="center" vertical="center"/>
      <protection locked="0"/>
    </xf>
    <xf numFmtId="185" fontId="1" fillId="0" borderId="8" xfId="9" applyNumberFormat="1" applyFont="1" applyFill="1" applyBorder="1" applyAlignment="1" applyProtection="1">
      <alignment horizontal="center" vertical="center"/>
      <protection locked="0"/>
    </xf>
    <xf numFmtId="167" fontId="1" fillId="0" borderId="10" xfId="9" applyFont="1" applyBorder="1" applyAlignment="1" applyProtection="1">
      <alignment horizontal="center"/>
      <protection locked="0"/>
    </xf>
    <xf numFmtId="167" fontId="1" fillId="0" borderId="1" xfId="9" applyFont="1" applyBorder="1" applyAlignment="1" applyProtection="1">
      <alignment horizontal="center"/>
      <protection locked="0"/>
    </xf>
    <xf numFmtId="185" fontId="1" fillId="2" borderId="5" xfId="9" applyNumberFormat="1" applyFont="1" applyFill="1" applyBorder="1" applyAlignment="1" applyProtection="1">
      <alignment horizontal="center" vertical="center"/>
      <protection locked="0"/>
    </xf>
    <xf numFmtId="185" fontId="1" fillId="2" borderId="14" xfId="9" applyNumberFormat="1" applyFont="1" applyFill="1" applyBorder="1" applyAlignment="1" applyProtection="1">
      <alignment horizontal="center" vertical="center"/>
      <protection locked="0"/>
    </xf>
    <xf numFmtId="185" fontId="1" fillId="2" borderId="9" xfId="9" applyNumberFormat="1" applyFont="1" applyFill="1" applyBorder="1" applyAlignment="1" applyProtection="1">
      <alignment horizontal="center" vertical="center"/>
      <protection locked="0"/>
    </xf>
    <xf numFmtId="167" fontId="1" fillId="2" borderId="6" xfId="9" applyFont="1" applyFill="1" applyBorder="1" applyAlignment="1" applyProtection="1">
      <alignment horizontal="center" vertical="center"/>
      <protection locked="0"/>
    </xf>
    <xf numFmtId="167" fontId="1" fillId="2" borderId="10" xfId="9" applyFont="1" applyFill="1" applyBorder="1" applyAlignment="1" applyProtection="1">
      <alignment horizontal="center" vertical="center"/>
      <protection locked="0"/>
    </xf>
    <xf numFmtId="185" fontId="1" fillId="2" borderId="13" xfId="9" applyNumberFormat="1" applyFont="1" applyFill="1" applyBorder="1" applyAlignment="1" applyProtection="1">
      <alignment horizontal="center" vertical="center"/>
      <protection locked="0"/>
    </xf>
    <xf numFmtId="185" fontId="1" fillId="2" borderId="10" xfId="9" applyNumberFormat="1" applyFont="1" applyFill="1" applyBorder="1" applyAlignment="1" applyProtection="1">
      <alignment horizontal="center" vertical="center"/>
      <protection locked="0"/>
    </xf>
    <xf numFmtId="185" fontId="12" fillId="0" borderId="1" xfId="9" applyNumberFormat="1" applyFont="1" applyFill="1" applyBorder="1" applyAlignment="1" applyProtection="1">
      <alignment horizontal="center" vertical="center"/>
      <protection locked="0"/>
    </xf>
    <xf numFmtId="14" fontId="12" fillId="2" borderId="6" xfId="9" applyNumberFormat="1" applyFont="1" applyFill="1" applyBorder="1" applyAlignment="1" applyProtection="1">
      <alignment horizontal="center" vertical="center"/>
      <protection locked="0"/>
    </xf>
    <xf numFmtId="14" fontId="12" fillId="2" borderId="10" xfId="9" applyNumberFormat="1" applyFont="1" applyFill="1" applyBorder="1" applyAlignment="1" applyProtection="1">
      <alignment horizontal="center" vertical="center"/>
      <protection locked="0"/>
    </xf>
    <xf numFmtId="185" fontId="1" fillId="2" borderId="3" xfId="9" applyNumberFormat="1" applyFont="1" applyFill="1" applyBorder="1" applyAlignment="1" applyProtection="1">
      <alignment horizontal="center" vertical="center"/>
      <protection locked="0"/>
    </xf>
    <xf numFmtId="197" fontId="12" fillId="0" borderId="1" xfId="9" applyNumberFormat="1" applyFont="1" applyFill="1" applyBorder="1" applyAlignment="1" applyProtection="1">
      <alignment horizontal="center" vertical="center"/>
      <protection locked="0"/>
    </xf>
    <xf numFmtId="185" fontId="7" fillId="2" borderId="6" xfId="9" applyNumberFormat="1" applyFont="1" applyFill="1" applyBorder="1" applyAlignment="1" applyProtection="1">
      <alignment horizontal="justify" vertical="center" wrapText="1"/>
      <protection locked="0"/>
    </xf>
    <xf numFmtId="185" fontId="7" fillId="2" borderId="13" xfId="9" applyNumberFormat="1" applyFont="1" applyFill="1" applyBorder="1" applyAlignment="1" applyProtection="1">
      <alignment horizontal="justify" vertical="center" wrapText="1"/>
      <protection locked="0"/>
    </xf>
    <xf numFmtId="185" fontId="7" fillId="2" borderId="10" xfId="9" applyNumberFormat="1" applyFont="1" applyFill="1" applyBorder="1" applyAlignment="1" applyProtection="1">
      <alignment horizontal="justify" vertical="center" wrapText="1"/>
      <protection locked="0"/>
    </xf>
    <xf numFmtId="185" fontId="1" fillId="2" borderId="6" xfId="9" applyNumberFormat="1" applyFont="1" applyFill="1" applyBorder="1" applyAlignment="1" applyProtection="1">
      <alignment horizontal="left" vertical="center" wrapText="1"/>
      <protection locked="0"/>
    </xf>
    <xf numFmtId="185" fontId="1" fillId="2" borderId="10" xfId="9" applyNumberFormat="1" applyFont="1" applyFill="1" applyBorder="1" applyAlignment="1" applyProtection="1">
      <alignment horizontal="left" vertical="center" wrapText="1"/>
      <protection locked="0"/>
    </xf>
    <xf numFmtId="14" fontId="1" fillId="2" borderId="6" xfId="9" applyNumberFormat="1" applyFont="1" applyFill="1" applyBorder="1" applyAlignment="1" applyProtection="1">
      <alignment horizontal="center" vertical="center"/>
      <protection locked="0"/>
    </xf>
    <xf numFmtId="14" fontId="1" fillId="2" borderId="10" xfId="9" applyNumberFormat="1" applyFont="1" applyFill="1" applyBorder="1" applyAlignment="1" applyProtection="1">
      <alignment horizontal="center" vertical="center"/>
      <protection locked="0"/>
    </xf>
    <xf numFmtId="185" fontId="12" fillId="2" borderId="6" xfId="9" applyNumberFormat="1" applyFont="1" applyFill="1" applyBorder="1" applyAlignment="1" applyProtection="1">
      <alignment horizontal="center" vertical="center" textRotation="180"/>
      <protection locked="0"/>
    </xf>
    <xf numFmtId="185" fontId="12" fillId="2" borderId="13" xfId="9" applyNumberFormat="1" applyFont="1" applyFill="1" applyBorder="1" applyAlignment="1" applyProtection="1">
      <alignment horizontal="center" vertical="center" textRotation="180"/>
      <protection locked="0"/>
    </xf>
    <xf numFmtId="185" fontId="12" fillId="2" borderId="10" xfId="9" applyNumberFormat="1" applyFont="1" applyFill="1" applyBorder="1" applyAlignment="1" applyProtection="1">
      <alignment horizontal="center" vertical="center" textRotation="180"/>
      <protection locked="0"/>
    </xf>
    <xf numFmtId="185" fontId="1" fillId="2" borderId="6" xfId="9" applyNumberFormat="1" applyFont="1" applyFill="1" applyBorder="1" applyAlignment="1" applyProtection="1">
      <alignment horizontal="center" vertical="center" textRotation="180"/>
      <protection locked="0"/>
    </xf>
    <xf numFmtId="185" fontId="1" fillId="2" borderId="13" xfId="9" applyNumberFormat="1" applyFont="1" applyFill="1" applyBorder="1" applyAlignment="1" applyProtection="1">
      <alignment horizontal="center" vertical="center" textRotation="180"/>
      <protection locked="0"/>
    </xf>
    <xf numFmtId="185" fontId="1" fillId="2" borderId="10" xfId="9" applyNumberFormat="1" applyFont="1" applyFill="1" applyBorder="1" applyAlignment="1" applyProtection="1">
      <alignment horizontal="center" vertical="center" textRotation="180"/>
      <protection locked="0"/>
    </xf>
    <xf numFmtId="197" fontId="12" fillId="0" borderId="6" xfId="9" applyNumberFormat="1" applyFont="1" applyFill="1" applyBorder="1" applyAlignment="1" applyProtection="1">
      <alignment horizontal="center" vertical="center"/>
      <protection locked="0"/>
    </xf>
    <xf numFmtId="197" fontId="12" fillId="0" borderId="13" xfId="9" applyNumberFormat="1" applyFont="1" applyFill="1" applyBorder="1" applyAlignment="1" applyProtection="1">
      <alignment horizontal="center" vertical="center"/>
      <protection locked="0"/>
    </xf>
    <xf numFmtId="197" fontId="12" fillId="0" borderId="10" xfId="9" applyNumberFormat="1" applyFont="1" applyFill="1" applyBorder="1" applyAlignment="1" applyProtection="1">
      <alignment horizontal="center" vertical="center"/>
      <protection locked="0"/>
    </xf>
    <xf numFmtId="0" fontId="1" fillId="2" borderId="6" xfId="9" applyNumberFormat="1" applyFont="1" applyFill="1" applyBorder="1" applyAlignment="1" applyProtection="1">
      <alignment horizontal="center" vertical="center"/>
      <protection locked="0"/>
    </xf>
    <xf numFmtId="0" fontId="1" fillId="2" borderId="13" xfId="9" applyNumberFormat="1" applyFont="1" applyFill="1" applyBorder="1" applyAlignment="1" applyProtection="1">
      <alignment horizontal="center" vertical="center"/>
      <protection locked="0"/>
    </xf>
    <xf numFmtId="0" fontId="1" fillId="2" borderId="10" xfId="9" applyNumberFormat="1" applyFont="1" applyFill="1" applyBorder="1" applyAlignment="1" applyProtection="1">
      <alignment horizontal="center" vertical="center"/>
      <protection locked="0"/>
    </xf>
    <xf numFmtId="185" fontId="3" fillId="15" borderId="12" xfId="9" applyNumberFormat="1" applyFont="1" applyFill="1" applyBorder="1" applyAlignment="1" applyProtection="1">
      <alignment horizontal="center" vertical="center" wrapText="1"/>
      <protection locked="0"/>
    </xf>
    <xf numFmtId="185" fontId="3" fillId="15" borderId="0" xfId="9" applyNumberFormat="1" applyFont="1" applyFill="1" applyBorder="1" applyAlignment="1" applyProtection="1">
      <alignment horizontal="center" vertical="center" wrapText="1"/>
      <protection locked="0"/>
    </xf>
    <xf numFmtId="167" fontId="1" fillId="15" borderId="45" xfId="9" applyFont="1" applyFill="1" applyBorder="1" applyAlignment="1" applyProtection="1">
      <alignment horizontal="center"/>
      <protection locked="0"/>
    </xf>
    <xf numFmtId="167" fontId="1" fillId="15" borderId="60" xfId="9" applyFont="1" applyFill="1" applyBorder="1" applyAlignment="1" applyProtection="1">
      <alignment horizontal="center"/>
      <protection locked="0"/>
    </xf>
    <xf numFmtId="185" fontId="3" fillId="0" borderId="12" xfId="9" applyNumberFormat="1" applyFont="1" applyFill="1" applyBorder="1" applyAlignment="1" applyProtection="1">
      <alignment horizontal="center" vertical="center"/>
      <protection locked="0"/>
    </xf>
    <xf numFmtId="185" fontId="3" fillId="0" borderId="5" xfId="9" applyNumberFormat="1" applyFont="1" applyFill="1" applyBorder="1" applyAlignment="1" applyProtection="1">
      <alignment horizontal="center" vertical="center"/>
      <protection locked="0"/>
    </xf>
    <xf numFmtId="185" fontId="3" fillId="0" borderId="0" xfId="9" applyNumberFormat="1" applyFont="1" applyFill="1" applyBorder="1" applyAlignment="1" applyProtection="1">
      <alignment horizontal="center" vertical="center"/>
      <protection locked="0"/>
    </xf>
    <xf numFmtId="185" fontId="3" fillId="0" borderId="14" xfId="9" applyNumberFormat="1" applyFont="1" applyFill="1" applyBorder="1" applyAlignment="1" applyProtection="1">
      <alignment horizontal="center" vertical="center"/>
      <protection locked="0"/>
    </xf>
    <xf numFmtId="185" fontId="3" fillId="0" borderId="37" xfId="9" applyNumberFormat="1" applyFont="1" applyFill="1" applyBorder="1" applyAlignment="1" applyProtection="1">
      <alignment horizontal="center" vertical="center"/>
      <protection locked="0"/>
    </xf>
    <xf numFmtId="185" fontId="3" fillId="0" borderId="32" xfId="9" applyNumberFormat="1" applyFont="1" applyFill="1" applyBorder="1" applyAlignment="1" applyProtection="1">
      <alignment horizontal="center" vertical="center"/>
      <protection locked="0"/>
    </xf>
    <xf numFmtId="167" fontId="1" fillId="2" borderId="42" xfId="9" applyFont="1" applyFill="1" applyBorder="1" applyAlignment="1" applyProtection="1">
      <alignment horizontal="center" vertical="center" wrapText="1"/>
      <protection locked="0"/>
    </xf>
    <xf numFmtId="167" fontId="1" fillId="2" borderId="28" xfId="9" applyFont="1" applyFill="1" applyBorder="1" applyAlignment="1" applyProtection="1">
      <alignment horizontal="center" vertical="center" wrapText="1"/>
      <protection locked="0"/>
    </xf>
    <xf numFmtId="167" fontId="1" fillId="2" borderId="30" xfId="9" applyFont="1" applyFill="1" applyBorder="1" applyAlignment="1" applyProtection="1">
      <alignment horizontal="center" vertical="center" wrapText="1"/>
      <protection locked="0"/>
    </xf>
    <xf numFmtId="1" fontId="1" fillId="0" borderId="10" xfId="9" applyNumberFormat="1" applyFont="1" applyFill="1" applyBorder="1" applyAlignment="1" applyProtection="1">
      <alignment horizontal="center" vertical="center" wrapText="1"/>
      <protection locked="0"/>
    </xf>
    <xf numFmtId="1" fontId="12" fillId="0" borderId="6" xfId="9" applyNumberFormat="1" applyFont="1" applyFill="1" applyBorder="1" applyAlignment="1" applyProtection="1">
      <alignment horizontal="center" vertical="center" wrapText="1"/>
      <protection locked="0"/>
    </xf>
    <xf numFmtId="1" fontId="12" fillId="0" borderId="10" xfId="9" applyNumberFormat="1" applyFont="1" applyFill="1" applyBorder="1" applyAlignment="1" applyProtection="1">
      <alignment horizontal="center" vertical="center" wrapText="1"/>
      <protection locked="0"/>
    </xf>
    <xf numFmtId="185" fontId="1" fillId="0" borderId="1" xfId="9" applyNumberFormat="1" applyFont="1" applyFill="1" applyBorder="1" applyAlignment="1" applyProtection="1">
      <alignment horizontal="center" vertical="center" textRotation="180"/>
      <protection locked="0"/>
    </xf>
    <xf numFmtId="170" fontId="1" fillId="0" borderId="1" xfId="9" applyNumberFormat="1" applyFont="1" applyFill="1" applyBorder="1" applyAlignment="1" applyProtection="1">
      <alignment horizontal="center" vertical="center" wrapText="1"/>
      <protection locked="0"/>
    </xf>
    <xf numFmtId="167" fontId="1" fillId="2" borderId="10" xfId="9" applyFont="1" applyFill="1" applyBorder="1" applyAlignment="1" applyProtection="1">
      <alignment horizontal="left" vertical="center" wrapText="1"/>
      <protection locked="0"/>
    </xf>
    <xf numFmtId="167" fontId="1" fillId="2" borderId="1" xfId="9" applyFont="1" applyFill="1" applyBorder="1" applyAlignment="1" applyProtection="1">
      <alignment horizontal="left" vertical="center" wrapText="1"/>
      <protection locked="0"/>
    </xf>
    <xf numFmtId="14" fontId="12" fillId="0" borderId="6" xfId="9" applyNumberFormat="1" applyFont="1" applyFill="1" applyBorder="1" applyAlignment="1" applyProtection="1">
      <alignment horizontal="center" vertical="center" wrapText="1"/>
      <protection locked="0"/>
    </xf>
    <xf numFmtId="14" fontId="12" fillId="0" borderId="10" xfId="9" applyNumberFormat="1" applyFont="1" applyFill="1" applyBorder="1" applyAlignment="1" applyProtection="1">
      <alignment horizontal="center" vertical="center" wrapText="1"/>
      <protection locked="0"/>
    </xf>
    <xf numFmtId="14" fontId="1" fillId="0" borderId="6" xfId="9" applyNumberFormat="1" applyFont="1" applyFill="1" applyBorder="1" applyAlignment="1" applyProtection="1">
      <alignment horizontal="center" vertical="center" wrapText="1"/>
      <protection locked="0"/>
    </xf>
    <xf numFmtId="14" fontId="1" fillId="0" borderId="10" xfId="9" applyNumberFormat="1" applyFont="1" applyFill="1" applyBorder="1" applyAlignment="1" applyProtection="1">
      <alignment horizontal="center" vertical="center" wrapText="1"/>
      <protection locked="0"/>
    </xf>
    <xf numFmtId="167" fontId="1" fillId="2" borderId="1" xfId="9" applyFont="1" applyFill="1" applyBorder="1" applyAlignment="1" applyProtection="1">
      <alignment horizontal="center" vertical="center"/>
      <protection locked="0"/>
    </xf>
    <xf numFmtId="172" fontId="1" fillId="0" borderId="6" xfId="8" applyNumberFormat="1" applyFont="1" applyFill="1" applyBorder="1" applyAlignment="1" applyProtection="1">
      <alignment horizontal="center" vertical="center" wrapText="1"/>
      <protection locked="0"/>
    </xf>
    <xf numFmtId="172" fontId="1" fillId="0" borderId="10" xfId="8" applyNumberFormat="1" applyFont="1" applyFill="1" applyBorder="1" applyAlignment="1" applyProtection="1">
      <alignment horizontal="center" vertical="center" wrapText="1"/>
      <protection locked="0"/>
    </xf>
    <xf numFmtId="167" fontId="12" fillId="0" borderId="6" xfId="9" applyFont="1" applyFill="1" applyBorder="1" applyAlignment="1" applyProtection="1">
      <alignment horizontal="center" vertical="center" wrapText="1"/>
      <protection locked="0"/>
    </xf>
    <xf numFmtId="167" fontId="12" fillId="0" borderId="10" xfId="9" applyFont="1" applyFill="1" applyBorder="1" applyAlignment="1" applyProtection="1">
      <alignment horizontal="center" vertical="center" wrapText="1"/>
      <protection locked="0"/>
    </xf>
    <xf numFmtId="185" fontId="1" fillId="2" borderId="6" xfId="9" applyNumberFormat="1" applyFont="1" applyFill="1" applyBorder="1" applyAlignment="1" applyProtection="1">
      <alignment horizontal="center" vertical="center" wrapText="1"/>
      <protection locked="0"/>
    </xf>
    <xf numFmtId="185" fontId="1" fillId="2" borderId="13" xfId="9" applyNumberFormat="1" applyFont="1" applyFill="1" applyBorder="1" applyAlignment="1" applyProtection="1">
      <alignment horizontal="center" vertical="center" wrapText="1"/>
      <protection locked="0"/>
    </xf>
    <xf numFmtId="185" fontId="1" fillId="2" borderId="10" xfId="9" applyNumberFormat="1" applyFont="1" applyFill="1" applyBorder="1" applyAlignment="1" applyProtection="1">
      <alignment horizontal="center" vertical="center" wrapText="1"/>
      <protection locked="0"/>
    </xf>
    <xf numFmtId="185" fontId="1" fillId="2" borderId="1" xfId="9" applyNumberFormat="1" applyFont="1" applyFill="1" applyBorder="1" applyAlignment="1" applyProtection="1">
      <alignment horizontal="center" vertical="center" textRotation="180"/>
      <protection locked="0"/>
    </xf>
    <xf numFmtId="185" fontId="3" fillId="7" borderId="5" xfId="9" applyNumberFormat="1" applyFont="1" applyFill="1" applyBorder="1" applyAlignment="1" applyProtection="1">
      <alignment horizontal="center" vertical="center"/>
      <protection locked="0"/>
    </xf>
    <xf numFmtId="185" fontId="3" fillId="7" borderId="9" xfId="9" applyNumberFormat="1" applyFont="1" applyFill="1" applyBorder="1" applyAlignment="1" applyProtection="1">
      <alignment horizontal="center" vertical="center"/>
      <protection locked="0"/>
    </xf>
    <xf numFmtId="185" fontId="7" fillId="2" borderId="1" xfId="9" applyNumberFormat="1" applyFont="1" applyFill="1" applyBorder="1" applyAlignment="1" applyProtection="1">
      <alignment horizontal="center" vertical="center" wrapText="1"/>
      <protection locked="0"/>
    </xf>
    <xf numFmtId="49" fontId="12" fillId="0" borderId="6" xfId="9" applyNumberFormat="1" applyFont="1" applyBorder="1" applyAlignment="1" applyProtection="1">
      <alignment horizontal="center" vertical="center" wrapText="1"/>
      <protection locked="0"/>
    </xf>
    <xf numFmtId="49" fontId="12" fillId="0" borderId="10" xfId="9" applyNumberFormat="1" applyFont="1" applyBorder="1" applyAlignment="1" applyProtection="1">
      <alignment horizontal="center" vertical="center" wrapText="1"/>
      <protection locked="0"/>
    </xf>
    <xf numFmtId="49" fontId="1" fillId="0" borderId="6" xfId="9" applyNumberFormat="1" applyFont="1" applyBorder="1" applyAlignment="1" applyProtection="1">
      <alignment horizontal="center" vertical="center" wrapText="1"/>
      <protection locked="0"/>
    </xf>
    <xf numFmtId="49" fontId="1" fillId="0" borderId="10" xfId="9" applyNumberFormat="1" applyFont="1" applyBorder="1" applyAlignment="1" applyProtection="1">
      <alignment horizontal="center" vertical="center" wrapText="1"/>
      <protection locked="0"/>
    </xf>
    <xf numFmtId="14" fontId="12" fillId="2" borderId="1" xfId="9" applyNumberFormat="1" applyFont="1" applyFill="1" applyBorder="1" applyAlignment="1" applyProtection="1">
      <alignment horizontal="center" vertical="center"/>
      <protection locked="0"/>
    </xf>
    <xf numFmtId="172" fontId="7" fillId="2" borderId="1" xfId="8" applyNumberFormat="1" applyFont="1" applyFill="1" applyBorder="1" applyAlignment="1" applyProtection="1">
      <alignment horizontal="center" vertical="center"/>
      <protection locked="0"/>
    </xf>
    <xf numFmtId="172" fontId="1" fillId="2" borderId="1" xfId="8" applyNumberFormat="1" applyFont="1" applyFill="1" applyBorder="1" applyAlignment="1" applyProtection="1">
      <alignment horizontal="center" vertical="center"/>
      <protection locked="0"/>
    </xf>
    <xf numFmtId="167" fontId="1" fillId="0" borderId="42" xfId="9" applyFont="1" applyFill="1" applyBorder="1" applyAlignment="1" applyProtection="1">
      <alignment horizontal="center" vertical="center" wrapText="1"/>
      <protection locked="0"/>
    </xf>
    <xf numFmtId="167" fontId="1" fillId="0" borderId="30" xfId="9" applyFont="1" applyFill="1" applyBorder="1" applyAlignment="1" applyProtection="1">
      <alignment horizontal="center" vertical="center" wrapText="1"/>
      <protection locked="0"/>
    </xf>
    <xf numFmtId="49" fontId="1" fillId="0" borderId="6" xfId="9" applyNumberFormat="1" applyFont="1" applyBorder="1" applyAlignment="1" applyProtection="1">
      <alignment horizontal="center" vertical="center"/>
      <protection locked="0"/>
    </xf>
    <xf numFmtId="49" fontId="1" fillId="0" borderId="13" xfId="9" applyNumberFormat="1" applyFont="1" applyBorder="1" applyAlignment="1" applyProtection="1">
      <alignment horizontal="center" vertical="center"/>
      <protection locked="0"/>
    </xf>
    <xf numFmtId="49" fontId="12" fillId="0" borderId="6" xfId="9" applyNumberFormat="1" applyFont="1" applyBorder="1" applyAlignment="1" applyProtection="1">
      <alignment horizontal="center" vertical="center"/>
      <protection locked="0"/>
    </xf>
    <xf numFmtId="49" fontId="12" fillId="0" borderId="13" xfId="9" applyNumberFormat="1" applyFont="1" applyBorder="1" applyAlignment="1" applyProtection="1">
      <alignment horizontal="center" vertical="center"/>
      <protection locked="0"/>
    </xf>
    <xf numFmtId="170" fontId="1" fillId="2" borderId="6" xfId="9" applyNumberFormat="1" applyFont="1" applyFill="1" applyBorder="1" applyAlignment="1" applyProtection="1">
      <alignment horizontal="center" vertical="center"/>
      <protection locked="0"/>
    </xf>
    <xf numFmtId="170" fontId="1" fillId="2" borderId="10" xfId="9" applyNumberFormat="1" applyFont="1" applyFill="1" applyBorder="1" applyAlignment="1" applyProtection="1">
      <alignment horizontal="center" vertical="center"/>
      <protection locked="0"/>
    </xf>
    <xf numFmtId="170" fontId="12" fillId="2" borderId="6" xfId="9" applyNumberFormat="1" applyFont="1" applyFill="1" applyBorder="1" applyAlignment="1" applyProtection="1">
      <alignment horizontal="center" vertical="center"/>
      <protection locked="0"/>
    </xf>
    <xf numFmtId="170" fontId="12" fillId="2" borderId="10" xfId="9" applyNumberFormat="1" applyFont="1" applyFill="1" applyBorder="1" applyAlignment="1" applyProtection="1">
      <alignment horizontal="center" vertical="center"/>
      <protection locked="0"/>
    </xf>
    <xf numFmtId="170" fontId="1" fillId="2" borderId="1" xfId="9" applyNumberFormat="1" applyFont="1" applyFill="1" applyBorder="1" applyAlignment="1" applyProtection="1">
      <alignment horizontal="center" vertical="center"/>
      <protection locked="0"/>
    </xf>
    <xf numFmtId="170" fontId="12" fillId="2" borderId="13" xfId="9" applyNumberFormat="1" applyFont="1" applyFill="1" applyBorder="1" applyAlignment="1" applyProtection="1">
      <alignment horizontal="center" vertical="center"/>
      <protection locked="0"/>
    </xf>
    <xf numFmtId="49" fontId="1" fillId="0" borderId="10" xfId="9" applyNumberFormat="1" applyFont="1" applyBorder="1" applyAlignment="1" applyProtection="1">
      <alignment horizontal="center" vertical="center"/>
      <protection locked="0"/>
    </xf>
    <xf numFmtId="49" fontId="12" fillId="0" borderId="10" xfId="9" applyNumberFormat="1" applyFont="1" applyBorder="1" applyAlignment="1" applyProtection="1">
      <alignment horizontal="center" vertical="center"/>
      <protection locked="0"/>
    </xf>
    <xf numFmtId="0" fontId="1" fillId="2" borderId="13" xfId="9" applyNumberFormat="1" applyFont="1" applyFill="1" applyBorder="1" applyAlignment="1" applyProtection="1">
      <alignment horizontal="justify" vertical="center" wrapText="1"/>
      <protection locked="0"/>
    </xf>
    <xf numFmtId="14" fontId="1" fillId="0" borderId="6" xfId="9" applyNumberFormat="1" applyFont="1" applyFill="1" applyBorder="1" applyAlignment="1" applyProtection="1">
      <alignment horizontal="center" vertical="center"/>
      <protection locked="0"/>
    </xf>
    <xf numFmtId="14" fontId="1" fillId="0" borderId="10" xfId="9" applyNumberFormat="1" applyFont="1" applyFill="1" applyBorder="1" applyAlignment="1" applyProtection="1">
      <alignment horizontal="center" vertical="center"/>
      <protection locked="0"/>
    </xf>
    <xf numFmtId="14" fontId="12" fillId="0" borderId="6" xfId="9" applyNumberFormat="1" applyFont="1" applyFill="1" applyBorder="1" applyAlignment="1" applyProtection="1">
      <alignment horizontal="center" vertical="center"/>
      <protection locked="0"/>
    </xf>
    <xf numFmtId="14" fontId="12" fillId="0" borderId="10" xfId="9" applyNumberFormat="1" applyFont="1" applyFill="1" applyBorder="1" applyAlignment="1" applyProtection="1">
      <alignment horizontal="center" vertical="center"/>
      <protection locked="0"/>
    </xf>
    <xf numFmtId="185" fontId="3" fillId="7" borderId="5" xfId="9" applyNumberFormat="1" applyFont="1" applyFill="1" applyBorder="1" applyAlignment="1" applyProtection="1">
      <alignment horizontal="center" vertical="center" wrapText="1"/>
      <protection locked="0"/>
    </xf>
    <xf numFmtId="185" fontId="3" fillId="7" borderId="9" xfId="9" applyNumberFormat="1" applyFont="1" applyFill="1" applyBorder="1" applyAlignment="1" applyProtection="1">
      <alignment horizontal="center" vertical="center" wrapText="1"/>
      <protection locked="0"/>
    </xf>
    <xf numFmtId="185" fontId="1" fillId="2" borderId="12" xfId="9" applyNumberFormat="1" applyFont="1" applyFill="1" applyBorder="1" applyAlignment="1" applyProtection="1">
      <alignment horizontal="center" vertical="center" wrapText="1"/>
      <protection locked="0"/>
    </xf>
    <xf numFmtId="185" fontId="1" fillId="2" borderId="5" xfId="9" applyNumberFormat="1" applyFont="1" applyFill="1" applyBorder="1" applyAlignment="1" applyProtection="1">
      <alignment horizontal="center" vertical="center" wrapText="1"/>
      <protection locked="0"/>
    </xf>
    <xf numFmtId="185" fontId="1" fillId="2" borderId="0" xfId="9" applyNumberFormat="1" applyFont="1" applyFill="1" applyBorder="1" applyAlignment="1" applyProtection="1">
      <alignment horizontal="center" vertical="center" wrapText="1"/>
      <protection locked="0"/>
    </xf>
    <xf numFmtId="185" fontId="1" fillId="2" borderId="14" xfId="9" applyNumberFormat="1" applyFont="1" applyFill="1" applyBorder="1" applyAlignment="1" applyProtection="1">
      <alignment horizontal="center" vertical="center" wrapText="1"/>
      <protection locked="0"/>
    </xf>
    <xf numFmtId="185" fontId="1" fillId="2" borderId="37" xfId="9" applyNumberFormat="1" applyFont="1" applyFill="1" applyBorder="1" applyAlignment="1" applyProtection="1">
      <alignment horizontal="center" vertical="center" wrapText="1"/>
      <protection locked="0"/>
    </xf>
    <xf numFmtId="185" fontId="1" fillId="2" borderId="32" xfId="9" applyNumberFormat="1" applyFont="1" applyFill="1" applyBorder="1" applyAlignment="1" applyProtection="1">
      <alignment horizontal="center" vertical="center" wrapText="1"/>
      <protection locked="0"/>
    </xf>
    <xf numFmtId="189" fontId="12" fillId="2" borderId="6" xfId="15" applyNumberFormat="1" applyFont="1" applyFill="1" applyBorder="1" applyAlignment="1" applyProtection="1">
      <alignment horizontal="center" vertical="center"/>
      <protection locked="0"/>
    </xf>
    <xf numFmtId="189" fontId="12" fillId="2" borderId="13" xfId="15" applyNumberFormat="1" applyFont="1" applyFill="1" applyBorder="1" applyAlignment="1" applyProtection="1">
      <alignment horizontal="center" vertical="center"/>
      <protection locked="0"/>
    </xf>
    <xf numFmtId="189" fontId="12" fillId="2" borderId="10" xfId="15" applyNumberFormat="1" applyFont="1" applyFill="1" applyBorder="1" applyAlignment="1" applyProtection="1">
      <alignment horizontal="center" vertical="center"/>
      <protection locked="0"/>
    </xf>
    <xf numFmtId="185" fontId="1" fillId="0" borderId="6" xfId="9" applyNumberFormat="1" applyFont="1" applyFill="1" applyBorder="1" applyAlignment="1" applyProtection="1">
      <alignment horizontal="center" vertical="center" wrapText="1"/>
      <protection locked="0"/>
    </xf>
    <xf numFmtId="185" fontId="1" fillId="0" borderId="10" xfId="9" applyNumberFormat="1" applyFont="1" applyFill="1" applyBorder="1" applyAlignment="1" applyProtection="1">
      <alignment horizontal="center" vertical="center" wrapText="1"/>
      <protection locked="0"/>
    </xf>
    <xf numFmtId="14" fontId="1" fillId="0" borderId="1" xfId="9" applyNumberFormat="1" applyFont="1" applyFill="1" applyBorder="1" applyAlignment="1" applyProtection="1">
      <alignment horizontal="center" vertical="center"/>
      <protection locked="0"/>
    </xf>
    <xf numFmtId="14" fontId="12" fillId="0" borderId="1" xfId="9" applyNumberFormat="1" applyFont="1" applyFill="1" applyBorder="1" applyAlignment="1" applyProtection="1">
      <alignment horizontal="center" vertical="center"/>
      <protection locked="0"/>
    </xf>
    <xf numFmtId="49" fontId="1" fillId="0" borderId="1" xfId="9" applyNumberFormat="1" applyFont="1" applyBorder="1" applyAlignment="1" applyProtection="1">
      <alignment horizontal="center" vertical="center"/>
      <protection locked="0"/>
    </xf>
    <xf numFmtId="49" fontId="12" fillId="0" borderId="1" xfId="9" applyNumberFormat="1" applyFont="1" applyBorder="1" applyAlignment="1" applyProtection="1">
      <alignment horizontal="center" vertical="center"/>
      <protection locked="0"/>
    </xf>
    <xf numFmtId="167" fontId="1" fillId="0" borderId="66" xfId="9" applyFont="1" applyFill="1" applyBorder="1" applyAlignment="1" applyProtection="1">
      <alignment horizontal="center" vertical="center" wrapText="1"/>
      <protection locked="0"/>
    </xf>
    <xf numFmtId="49" fontId="1" fillId="0" borderId="1" xfId="9" applyNumberFormat="1" applyFont="1" applyBorder="1" applyAlignment="1" applyProtection="1">
      <alignment horizontal="center" vertical="center" wrapText="1"/>
      <protection locked="0"/>
    </xf>
    <xf numFmtId="167" fontId="1" fillId="0" borderId="13" xfId="9" applyFont="1" applyBorder="1" applyAlignment="1" applyProtection="1">
      <alignment horizontal="center"/>
      <protection locked="0"/>
    </xf>
    <xf numFmtId="167" fontId="12" fillId="0" borderId="6" xfId="9" applyFont="1" applyBorder="1" applyAlignment="1" applyProtection="1">
      <alignment horizontal="center"/>
      <protection locked="0"/>
    </xf>
    <xf numFmtId="167" fontId="12" fillId="0" borderId="13" xfId="9" applyFont="1" applyBorder="1" applyAlignment="1" applyProtection="1">
      <alignment horizontal="center"/>
      <protection locked="0"/>
    </xf>
    <xf numFmtId="167" fontId="12" fillId="0" borderId="10" xfId="9" applyFont="1" applyBorder="1" applyAlignment="1" applyProtection="1">
      <alignment horizontal="center"/>
      <protection locked="0"/>
    </xf>
    <xf numFmtId="9" fontId="1" fillId="0" borderId="1" xfId="5" applyFont="1" applyBorder="1" applyAlignment="1" applyProtection="1">
      <alignment horizontal="center" vertical="center"/>
      <protection locked="0"/>
    </xf>
    <xf numFmtId="167" fontId="1" fillId="0" borderId="17" xfId="9" applyFont="1" applyFill="1" applyBorder="1" applyAlignment="1" applyProtection="1">
      <alignment horizontal="center" vertical="center"/>
      <protection locked="0"/>
    </xf>
    <xf numFmtId="1" fontId="1" fillId="0" borderId="6" xfId="9" applyNumberFormat="1" applyFont="1" applyFill="1" applyBorder="1" applyAlignment="1" applyProtection="1">
      <alignment horizontal="center" vertical="center"/>
      <protection locked="0"/>
    </xf>
    <xf numFmtId="1" fontId="1" fillId="0" borderId="13" xfId="9" applyNumberFormat="1" applyFont="1" applyFill="1" applyBorder="1" applyAlignment="1" applyProtection="1">
      <alignment horizontal="center" vertical="center"/>
      <protection locked="0"/>
    </xf>
    <xf numFmtId="1" fontId="1" fillId="0" borderId="17" xfId="9" applyNumberFormat="1" applyFont="1" applyFill="1" applyBorder="1" applyAlignment="1" applyProtection="1">
      <alignment horizontal="center" vertical="center"/>
      <protection locked="0"/>
    </xf>
    <xf numFmtId="189" fontId="12" fillId="0" borderId="6" xfId="15" applyNumberFormat="1" applyFont="1" applyFill="1" applyBorder="1" applyAlignment="1" applyProtection="1">
      <alignment horizontal="center" vertical="center"/>
      <protection locked="0"/>
    </xf>
    <xf numFmtId="189" fontId="12" fillId="0" borderId="13" xfId="15" applyNumberFormat="1" applyFont="1" applyFill="1" applyBorder="1" applyAlignment="1" applyProtection="1">
      <alignment horizontal="center" vertical="center"/>
      <protection locked="0"/>
    </xf>
    <xf numFmtId="189" fontId="12" fillId="0" borderId="17" xfId="15" applyNumberFormat="1" applyFont="1" applyFill="1" applyBorder="1" applyAlignment="1" applyProtection="1">
      <alignment horizontal="center" vertical="center"/>
      <protection locked="0"/>
    </xf>
    <xf numFmtId="167" fontId="1" fillId="0" borderId="17" xfId="9" applyFont="1" applyFill="1" applyBorder="1" applyAlignment="1" applyProtection="1">
      <alignment horizontal="center" vertical="center" wrapText="1"/>
      <protection locked="0"/>
    </xf>
    <xf numFmtId="0" fontId="1" fillId="0" borderId="17" xfId="9" applyNumberFormat="1" applyFont="1" applyFill="1" applyBorder="1" applyAlignment="1" applyProtection="1">
      <alignment horizontal="center" vertical="center" wrapText="1"/>
      <protection locked="0"/>
    </xf>
    <xf numFmtId="0" fontId="1" fillId="0" borderId="6" xfId="9" applyNumberFormat="1" applyFont="1" applyFill="1" applyBorder="1" applyAlignment="1" applyProtection="1">
      <alignment horizontal="justify" vertical="center" wrapText="1"/>
      <protection locked="0"/>
    </xf>
    <xf numFmtId="0" fontId="1" fillId="0" borderId="13" xfId="9" applyNumberFormat="1" applyFont="1" applyFill="1" applyBorder="1" applyAlignment="1" applyProtection="1">
      <alignment horizontal="justify" vertical="center" wrapText="1"/>
      <protection locked="0"/>
    </xf>
    <xf numFmtId="0" fontId="1" fillId="0" borderId="17" xfId="9" applyNumberFormat="1" applyFont="1" applyFill="1" applyBorder="1" applyAlignment="1" applyProtection="1">
      <alignment horizontal="justify" vertical="center" wrapText="1"/>
      <protection locked="0"/>
    </xf>
    <xf numFmtId="188" fontId="1" fillId="2" borderId="6" xfId="9" applyNumberFormat="1" applyFont="1" applyFill="1" applyBorder="1" applyAlignment="1" applyProtection="1">
      <alignment horizontal="justify" vertical="center" wrapText="1"/>
      <protection locked="0"/>
    </xf>
    <xf numFmtId="188" fontId="1" fillId="2" borderId="13" xfId="9" applyNumberFormat="1" applyFont="1" applyFill="1" applyBorder="1" applyAlignment="1" applyProtection="1">
      <alignment horizontal="justify" vertical="center" wrapText="1"/>
      <protection locked="0"/>
    </xf>
    <xf numFmtId="185" fontId="12" fillId="0" borderId="17" xfId="9" applyNumberFormat="1" applyFont="1" applyFill="1" applyBorder="1" applyAlignment="1" applyProtection="1">
      <alignment horizontal="center" vertical="center" textRotation="180"/>
      <protection locked="0"/>
    </xf>
    <xf numFmtId="185" fontId="1" fillId="0" borderId="18" xfId="9" applyNumberFormat="1" applyFont="1" applyFill="1" applyBorder="1" applyAlignment="1" applyProtection="1">
      <alignment horizontal="center" vertical="center" textRotation="180"/>
      <protection locked="0"/>
    </xf>
    <xf numFmtId="9" fontId="1" fillId="0" borderId="6" xfId="5" applyFont="1" applyFill="1" applyBorder="1" applyAlignment="1" applyProtection="1">
      <alignment horizontal="center" vertical="center" wrapText="1"/>
      <protection locked="0"/>
    </xf>
    <xf numFmtId="9" fontId="0" fillId="0" borderId="13" xfId="5" applyFont="1" applyFill="1" applyBorder="1" applyAlignment="1" applyProtection="1">
      <alignment horizontal="center" vertical="center" wrapText="1"/>
      <protection locked="0"/>
    </xf>
    <xf numFmtId="9" fontId="0" fillId="0" borderId="17" xfId="5" applyFont="1" applyFill="1" applyBorder="1" applyAlignment="1" applyProtection="1">
      <alignment horizontal="center" vertical="center" wrapText="1"/>
      <protection locked="0"/>
    </xf>
    <xf numFmtId="170" fontId="1" fillId="0" borderId="17" xfId="9"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170" fontId="12" fillId="0" borderId="17" xfId="9" applyNumberFormat="1" applyFont="1" applyFill="1" applyBorder="1" applyAlignment="1" applyProtection="1">
      <alignment horizontal="center" vertical="center"/>
      <protection locked="0"/>
    </xf>
    <xf numFmtId="0" fontId="1" fillId="2" borderId="17" xfId="9" applyNumberFormat="1" applyFont="1" applyFill="1" applyBorder="1" applyAlignment="1" applyProtection="1">
      <alignment horizontal="center" vertical="center" wrapText="1"/>
      <protection locked="0"/>
    </xf>
    <xf numFmtId="167" fontId="1" fillId="2" borderId="17" xfId="9" applyFont="1" applyFill="1" applyBorder="1" applyAlignment="1" applyProtection="1">
      <alignment horizontal="center" vertical="center" wrapText="1"/>
      <protection locked="0"/>
    </xf>
    <xf numFmtId="167" fontId="3" fillId="0" borderId="40" xfId="9" applyFont="1" applyBorder="1" applyAlignment="1" applyProtection="1">
      <alignment horizontal="center" vertical="center"/>
      <protection locked="0"/>
    </xf>
    <xf numFmtId="167" fontId="3" fillId="0" borderId="39" xfId="9" applyFont="1" applyBorder="1" applyAlignment="1" applyProtection="1">
      <alignment horizontal="center" vertical="center"/>
      <protection locked="0"/>
    </xf>
    <xf numFmtId="167" fontId="3" fillId="0" borderId="41" xfId="9" applyFont="1" applyBorder="1" applyAlignment="1" applyProtection="1">
      <alignment horizontal="center" vertical="center"/>
      <protection locked="0"/>
    </xf>
    <xf numFmtId="0" fontId="3" fillId="2" borderId="0" xfId="0" applyFont="1" applyFill="1" applyAlignment="1">
      <alignment horizontal="left" vertical="center"/>
    </xf>
    <xf numFmtId="0" fontId="1" fillId="2" borderId="0" xfId="0" applyFont="1" applyFill="1" applyAlignment="1">
      <alignment horizontal="left"/>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169" fontId="1" fillId="0" borderId="1" xfId="0" applyNumberFormat="1" applyFont="1" applyFill="1" applyBorder="1" applyAlignment="1">
      <alignment horizontal="center" vertical="center"/>
    </xf>
    <xf numFmtId="169" fontId="1" fillId="0" borderId="6" xfId="0" applyNumberFormat="1" applyFont="1" applyFill="1" applyBorder="1" applyAlignment="1">
      <alignment horizontal="center" vertical="center"/>
    </xf>
    <xf numFmtId="169" fontId="7" fillId="0" borderId="1" xfId="0" applyNumberFormat="1" applyFont="1" applyFill="1" applyBorder="1" applyAlignment="1">
      <alignment horizontal="center" vertical="center"/>
    </xf>
    <xf numFmtId="169" fontId="7" fillId="0" borderId="6"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0" fontId="12" fillId="0" borderId="1" xfId="0" applyFont="1" applyFill="1" applyBorder="1" applyAlignment="1">
      <alignment horizontal="center"/>
    </xf>
    <xf numFmtId="0" fontId="12" fillId="0" borderId="6" xfId="0" applyFont="1" applyFill="1" applyBorder="1" applyAlignment="1">
      <alignment horizontal="center"/>
    </xf>
    <xf numFmtId="0" fontId="1" fillId="0" borderId="1" xfId="0" applyFont="1" applyFill="1" applyBorder="1" applyAlignment="1">
      <alignment horizontal="center"/>
    </xf>
    <xf numFmtId="0" fontId="1" fillId="0" borderId="6" xfId="0" applyFont="1" applyFill="1" applyBorder="1" applyAlignment="1">
      <alignment horizontal="center"/>
    </xf>
    <xf numFmtId="164" fontId="1" fillId="0" borderId="1" xfId="17" applyFont="1" applyFill="1" applyBorder="1" applyAlignment="1">
      <alignment horizontal="center" vertical="center"/>
    </xf>
    <xf numFmtId="164" fontId="1" fillId="0" borderId="6" xfId="17" applyFont="1" applyFill="1" applyBorder="1" applyAlignment="1">
      <alignment horizontal="center" vertical="center"/>
    </xf>
    <xf numFmtId="164" fontId="1" fillId="0" borderId="1" xfId="17" applyFont="1" applyFill="1" applyBorder="1" applyAlignment="1">
      <alignment vertical="center"/>
    </xf>
    <xf numFmtId="164" fontId="1" fillId="0" borderId="6" xfId="17" applyFont="1" applyFill="1" applyBorder="1" applyAlignment="1">
      <alignment vertical="center"/>
    </xf>
    <xf numFmtId="10" fontId="0" fillId="0" borderId="1" xfId="0" applyNumberFormat="1" applyFont="1" applyFill="1" applyBorder="1" applyAlignment="1">
      <alignment horizontal="center" vertical="center"/>
    </xf>
    <xf numFmtId="10" fontId="0" fillId="0" borderId="6"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42" fontId="1" fillId="0" borderId="6" xfId="16" applyFont="1" applyFill="1" applyBorder="1" applyAlignment="1">
      <alignment horizontal="center" vertical="center"/>
    </xf>
    <xf numFmtId="42" fontId="1" fillId="0" borderId="13" xfId="16" applyFont="1" applyFill="1" applyBorder="1" applyAlignment="1">
      <alignment horizontal="center" vertical="center"/>
    </xf>
    <xf numFmtId="42" fontId="12" fillId="0" borderId="6" xfId="16" applyFont="1" applyFill="1" applyBorder="1" applyAlignment="1">
      <alignment horizontal="center" vertical="center"/>
    </xf>
    <xf numFmtId="42" fontId="12" fillId="0" borderId="10" xfId="16" applyFont="1" applyFill="1" applyBorder="1" applyAlignment="1">
      <alignment horizontal="center" vertical="center"/>
    </xf>
    <xf numFmtId="169" fontId="7" fillId="2" borderId="13"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12" fillId="2" borderId="13" xfId="0" applyFont="1" applyFill="1" applyBorder="1" applyAlignment="1">
      <alignment horizontal="center"/>
    </xf>
    <xf numFmtId="1" fontId="12"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3" fontId="1" fillId="0" borderId="6" xfId="16" applyNumberFormat="1" applyFont="1" applyFill="1" applyBorder="1" applyAlignment="1">
      <alignment horizontal="center" vertical="center"/>
    </xf>
    <xf numFmtId="3" fontId="1" fillId="0" borderId="10" xfId="16" applyNumberFormat="1" applyFont="1" applyFill="1" applyBorder="1" applyAlignment="1">
      <alignment horizontal="center" vertical="center"/>
    </xf>
    <xf numFmtId="1" fontId="1" fillId="0" borderId="5"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1" fontId="1" fillId="0" borderId="9"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2" fillId="0" borderId="13" xfId="0" applyFont="1" applyFill="1" applyBorder="1" applyAlignment="1">
      <alignment horizontal="center"/>
    </xf>
    <xf numFmtId="0" fontId="1" fillId="0" borderId="13" xfId="0" applyFont="1" applyFill="1" applyBorder="1" applyAlignment="1">
      <alignment horizontal="center"/>
    </xf>
    <xf numFmtId="164" fontId="1" fillId="0" borderId="13" xfId="17" applyFont="1" applyFill="1" applyBorder="1" applyAlignment="1">
      <alignment horizontal="center" vertical="center"/>
    </xf>
    <xf numFmtId="164" fontId="1" fillId="0" borderId="13" xfId="17" applyFont="1" applyFill="1" applyBorder="1" applyAlignment="1">
      <alignment vertical="center"/>
    </xf>
    <xf numFmtId="0" fontId="1" fillId="2" borderId="13" xfId="0" applyFont="1" applyFill="1" applyBorder="1" applyAlignment="1">
      <alignment horizontal="center"/>
    </xf>
    <xf numFmtId="169" fontId="7" fillId="0" borderId="13" xfId="0" applyNumberFormat="1" applyFont="1" applyFill="1" applyBorder="1" applyAlignment="1">
      <alignment horizontal="center" vertical="center"/>
    </xf>
    <xf numFmtId="169" fontId="7" fillId="2" borderId="6"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10" xfId="0" applyFont="1" applyFill="1" applyBorder="1" applyAlignment="1">
      <alignment horizontal="justify" vertical="center" wrapText="1"/>
    </xf>
    <xf numFmtId="164" fontId="1" fillId="0" borderId="6" xfId="0"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13" xfId="0" applyFont="1" applyFill="1" applyBorder="1" applyAlignment="1">
      <alignment horizontal="justify" vertical="center"/>
    </xf>
    <xf numFmtId="169" fontId="1" fillId="0" borderId="6" xfId="0" applyNumberFormat="1" applyFont="1" applyBorder="1" applyAlignment="1">
      <alignment horizontal="center" vertical="center"/>
    </xf>
    <xf numFmtId="169" fontId="1" fillId="0" borderId="13" xfId="0" applyNumberFormat="1" applyFont="1" applyBorder="1" applyAlignment="1">
      <alignment horizontal="center" vertical="center"/>
    </xf>
    <xf numFmtId="0" fontId="1" fillId="0" borderId="13" xfId="0" applyFont="1" applyBorder="1" applyAlignment="1">
      <alignment horizontal="center" vertical="center" wrapText="1"/>
    </xf>
    <xf numFmtId="164" fontId="1" fillId="0" borderId="6" xfId="17" applyFont="1" applyBorder="1" applyAlignment="1">
      <alignment vertical="center"/>
    </xf>
    <xf numFmtId="164" fontId="1" fillId="0" borderId="13" xfId="17" applyFont="1" applyBorder="1" applyAlignment="1">
      <alignment vertical="center"/>
    </xf>
    <xf numFmtId="9" fontId="1" fillId="0" borderId="6" xfId="5" applyFont="1" applyBorder="1" applyAlignment="1">
      <alignment horizontal="center" vertical="center"/>
    </xf>
    <xf numFmtId="9" fontId="1" fillId="0" borderId="13" xfId="5"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6" xfId="0" applyFont="1" applyBorder="1" applyAlignment="1">
      <alignment horizontal="center"/>
    </xf>
    <xf numFmtId="0" fontId="1" fillId="0" borderId="13" xfId="0" applyFont="1" applyBorder="1" applyAlignment="1">
      <alignment horizontal="center"/>
    </xf>
    <xf numFmtId="0" fontId="12" fillId="0" borderId="6" xfId="0" applyFont="1" applyBorder="1" applyAlignment="1">
      <alignment horizontal="center"/>
    </xf>
    <xf numFmtId="0" fontId="12" fillId="0" borderId="13" xfId="0" applyFont="1" applyBorder="1" applyAlignment="1">
      <alignment horizontal="center"/>
    </xf>
    <xf numFmtId="164" fontId="1" fillId="0" borderId="6" xfId="17" applyFont="1" applyBorder="1" applyAlignment="1">
      <alignment horizontal="center" vertical="center"/>
    </xf>
    <xf numFmtId="164" fontId="1" fillId="0" borderId="13" xfId="17" applyFont="1" applyBorder="1" applyAlignment="1">
      <alignment horizontal="center" vertical="center"/>
    </xf>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42" fontId="1" fillId="2" borderId="13" xfId="16"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1" fillId="0" borderId="14" xfId="0" applyFont="1" applyBorder="1" applyAlignment="1">
      <alignment horizontal="justify" vertical="center" wrapText="1"/>
    </xf>
    <xf numFmtId="0" fontId="7" fillId="0" borderId="1" xfId="0" applyFont="1" applyBorder="1" applyAlignment="1">
      <alignment horizontal="center" vertical="center" wrapText="1"/>
    </xf>
    <xf numFmtId="169" fontId="1" fillId="0" borderId="1" xfId="0" applyNumberFormat="1" applyFont="1" applyBorder="1" applyAlignment="1">
      <alignment horizontal="center" vertical="center"/>
    </xf>
    <xf numFmtId="0" fontId="12" fillId="0" borderId="1" xfId="0" applyFont="1" applyBorder="1" applyAlignment="1">
      <alignment horizontal="center"/>
    </xf>
    <xf numFmtId="0" fontId="1" fillId="0" borderId="1" xfId="0" applyFont="1" applyBorder="1" applyAlignment="1">
      <alignment horizontal="center"/>
    </xf>
    <xf numFmtId="1" fontId="12" fillId="0" borderId="1" xfId="0" applyNumberFormat="1" applyFont="1" applyBorder="1" applyAlignment="1">
      <alignment horizontal="center" vertical="center" textRotation="180"/>
    </xf>
    <xf numFmtId="1" fontId="1" fillId="0" borderId="1" xfId="0" applyNumberFormat="1" applyFont="1" applyBorder="1" applyAlignment="1">
      <alignment horizontal="center" vertical="center" textRotation="180"/>
    </xf>
    <xf numFmtId="0" fontId="1" fillId="0" borderId="1" xfId="0" applyFont="1" applyBorder="1" applyAlignment="1">
      <alignment horizontal="center" vertical="center" wrapText="1"/>
    </xf>
    <xf numFmtId="0" fontId="35" fillId="2" borderId="1" xfId="0" applyFont="1" applyFill="1" applyBorder="1" applyAlignment="1">
      <alignment horizontal="center" vertical="center"/>
    </xf>
    <xf numFmtId="164" fontId="0" fillId="0" borderId="1" xfId="17" applyFont="1" applyBorder="1" applyAlignment="1">
      <alignment horizontal="center" vertical="center"/>
    </xf>
    <xf numFmtId="164" fontId="0" fillId="0" borderId="1" xfId="17" applyFont="1" applyBorder="1" applyAlignment="1">
      <alignment vertical="center"/>
    </xf>
    <xf numFmtId="9" fontId="0" fillId="2" borderId="6" xfId="0" applyNumberFormat="1" applyFont="1" applyFill="1" applyBorder="1" applyAlignment="1">
      <alignment horizontal="center" vertical="center" wrapText="1"/>
    </xf>
    <xf numFmtId="9" fontId="0" fillId="2" borderId="13"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8" fillId="16"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42" fontId="1" fillId="2" borderId="1" xfId="16" applyFont="1" applyFill="1" applyBorder="1" applyAlignment="1">
      <alignment horizontal="center" vertical="center"/>
    </xf>
    <xf numFmtId="0" fontId="13" fillId="2" borderId="6" xfId="0" applyFont="1" applyFill="1" applyBorder="1" applyAlignment="1">
      <alignment horizontal="center" vertical="center" textRotation="180" wrapText="1"/>
    </xf>
    <xf numFmtId="0" fontId="13" fillId="2" borderId="13" xfId="0" applyFont="1" applyFill="1" applyBorder="1" applyAlignment="1">
      <alignment horizontal="center" vertical="center" textRotation="180" wrapText="1"/>
    </xf>
    <xf numFmtId="1" fontId="7" fillId="2" borderId="1" xfId="0" applyNumberFormat="1" applyFont="1" applyFill="1" applyBorder="1" applyAlignment="1">
      <alignment horizontal="center" vertical="center" textRotation="180" wrapText="1"/>
    </xf>
    <xf numFmtId="1" fontId="12" fillId="2" borderId="1" xfId="0" applyNumberFormat="1" applyFont="1" applyFill="1" applyBorder="1" applyAlignment="1">
      <alignment horizontal="center" vertical="center" textRotation="180" wrapText="1"/>
    </xf>
    <xf numFmtId="42" fontId="1" fillId="2" borderId="6" xfId="16" applyFont="1" applyFill="1" applyBorder="1" applyAlignment="1">
      <alignment horizontal="center" vertical="center" wrapText="1"/>
    </xf>
    <xf numFmtId="42" fontId="1" fillId="2" borderId="13" xfId="16"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3" xfId="0" applyFont="1" applyFill="1" applyBorder="1" applyAlignment="1">
      <alignment horizontal="center" vertical="center" wrapText="1"/>
    </xf>
    <xf numFmtId="164" fontId="0" fillId="2" borderId="6" xfId="17" applyFont="1" applyFill="1" applyBorder="1" applyAlignment="1">
      <alignment horizontal="center" vertical="center" wrapText="1"/>
    </xf>
    <xf numFmtId="164" fontId="0" fillId="2" borderId="13" xfId="17" applyFont="1" applyFill="1" applyBorder="1" applyAlignment="1">
      <alignment horizontal="center" vertical="center" wrapText="1"/>
    </xf>
    <xf numFmtId="164" fontId="0" fillId="2" borderId="6" xfId="17" applyFont="1" applyFill="1" applyBorder="1" applyAlignment="1">
      <alignment vertical="center" wrapText="1"/>
    </xf>
    <xf numFmtId="164" fontId="0" fillId="2" borderId="13" xfId="17" applyFont="1" applyFill="1" applyBorder="1" applyAlignment="1">
      <alignment vertical="center" wrapText="1"/>
    </xf>
    <xf numFmtId="1" fontId="0" fillId="2" borderId="6" xfId="0" applyNumberFormat="1" applyFont="1" applyFill="1" applyBorder="1" applyAlignment="1">
      <alignment horizontal="center" vertical="center" wrapText="1"/>
    </xf>
    <xf numFmtId="1" fontId="0" fillId="2" borderId="13" xfId="0" applyNumberFormat="1" applyFont="1" applyFill="1" applyBorder="1" applyAlignment="1">
      <alignment horizontal="center" vertical="center" wrapText="1"/>
    </xf>
    <xf numFmtId="0" fontId="3" fillId="2" borderId="6" xfId="0" applyFont="1" applyFill="1" applyBorder="1" applyAlignment="1">
      <alignment horizontal="center" vertical="center" textRotation="180" wrapText="1"/>
    </xf>
    <xf numFmtId="0" fontId="3" fillId="2" borderId="13" xfId="0" applyFont="1" applyFill="1" applyBorder="1" applyAlignment="1">
      <alignment horizontal="center" vertical="center" textRotation="180" wrapText="1"/>
    </xf>
    <xf numFmtId="1" fontId="1" fillId="2" borderId="1" xfId="0" applyNumberFormat="1" applyFont="1" applyFill="1" applyBorder="1" applyAlignment="1">
      <alignment horizontal="center" vertical="center" textRotation="180" wrapText="1"/>
    </xf>
    <xf numFmtId="1" fontId="1" fillId="2" borderId="6" xfId="0" applyNumberFormat="1" applyFont="1" applyFill="1" applyBorder="1" applyAlignment="1">
      <alignment horizontal="center" vertical="center" textRotation="180" wrapText="1"/>
    </xf>
    <xf numFmtId="42" fontId="12" fillId="2" borderId="6" xfId="16" applyFont="1" applyFill="1" applyBorder="1" applyAlignment="1">
      <alignment horizontal="center" vertical="center" wrapText="1"/>
    </xf>
    <xf numFmtId="42" fontId="12" fillId="2" borderId="10" xfId="16"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1" fontId="1" fillId="2" borderId="13"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13" xfId="0" applyNumberFormat="1" applyFont="1" applyFill="1" applyBorder="1" applyAlignment="1">
      <alignment horizontal="center" vertical="center" wrapText="1"/>
    </xf>
    <xf numFmtId="0" fontId="1" fillId="2" borderId="6" xfId="0" applyFont="1" applyFill="1" applyBorder="1" applyAlignment="1">
      <alignment horizontal="center" vertical="center" textRotation="1" wrapText="1"/>
    </xf>
    <xf numFmtId="0" fontId="1" fillId="2" borderId="10" xfId="0" applyFont="1" applyFill="1" applyBorder="1" applyAlignment="1">
      <alignment horizontal="center" vertical="center" textRotation="1" wrapText="1"/>
    </xf>
    <xf numFmtId="0" fontId="1" fillId="2" borderId="6" xfId="0" applyFont="1" applyFill="1" applyBorder="1" applyAlignment="1">
      <alignment horizontal="center" vertical="center" textRotation="180" wrapText="1"/>
    </xf>
    <xf numFmtId="0" fontId="1" fillId="2" borderId="10" xfId="0" applyFont="1" applyFill="1" applyBorder="1" applyAlignment="1">
      <alignment horizontal="center" vertical="center" textRotation="180" wrapText="1"/>
    </xf>
    <xf numFmtId="0" fontId="12" fillId="2" borderId="6" xfId="0" applyFont="1" applyFill="1" applyBorder="1" applyAlignment="1">
      <alignment horizontal="center" vertical="center" textRotation="180" wrapText="1"/>
    </xf>
    <xf numFmtId="0" fontId="12" fillId="2" borderId="10" xfId="0" applyFont="1" applyFill="1" applyBorder="1" applyAlignment="1">
      <alignment horizontal="center" vertical="center" textRotation="180" wrapText="1"/>
    </xf>
    <xf numFmtId="0" fontId="7" fillId="2" borderId="6" xfId="0" applyFont="1" applyFill="1" applyBorder="1" applyAlignment="1">
      <alignment horizontal="center" vertical="center" textRotation="91" wrapText="1"/>
    </xf>
    <xf numFmtId="0" fontId="7" fillId="2" borderId="10" xfId="0" applyFont="1" applyFill="1" applyBorder="1" applyAlignment="1">
      <alignment horizontal="center" vertical="center" textRotation="91" wrapText="1"/>
    </xf>
    <xf numFmtId="164" fontId="0" fillId="0" borderId="6" xfId="17" applyFont="1" applyFill="1" applyBorder="1" applyAlignment="1">
      <alignment horizontal="center" vertical="center"/>
    </xf>
    <xf numFmtId="164" fontId="0" fillId="0" borderId="10" xfId="17" applyFont="1" applyFill="1" applyBorder="1" applyAlignment="1">
      <alignment horizontal="center" vertical="center"/>
    </xf>
    <xf numFmtId="164" fontId="0" fillId="0" borderId="6" xfId="17" applyFont="1" applyFill="1" applyBorder="1" applyAlignment="1">
      <alignment vertical="center"/>
    </xf>
    <xf numFmtId="164" fontId="0" fillId="0" borderId="10" xfId="17" applyFont="1" applyFill="1" applyBorder="1" applyAlignment="1">
      <alignment vertical="center"/>
    </xf>
    <xf numFmtId="3" fontId="1" fillId="2" borderId="13" xfId="0" applyNumberFormat="1" applyFont="1" applyFill="1" applyBorder="1" applyAlignment="1">
      <alignment horizontal="center" vertical="center" textRotation="180" wrapText="1"/>
    </xf>
    <xf numFmtId="3" fontId="12" fillId="2" borderId="6" xfId="0" applyNumberFormat="1" applyFont="1" applyFill="1" applyBorder="1" applyAlignment="1">
      <alignment horizontal="center" vertical="center" textRotation="180" wrapText="1"/>
    </xf>
    <xf numFmtId="3" fontId="12" fillId="2" borderId="10" xfId="0" applyNumberFormat="1" applyFont="1" applyFill="1" applyBorder="1" applyAlignment="1">
      <alignment horizontal="center" vertical="center" textRotation="180" wrapText="1"/>
    </xf>
    <xf numFmtId="3" fontId="12" fillId="2" borderId="13" xfId="0" applyNumberFormat="1" applyFont="1" applyFill="1" applyBorder="1" applyAlignment="1">
      <alignment horizontal="center" vertical="center" textRotation="180" wrapText="1"/>
    </xf>
    <xf numFmtId="164" fontId="1" fillId="2" borderId="6" xfId="17" applyFont="1" applyFill="1" applyBorder="1" applyAlignment="1">
      <alignment vertical="center" wrapText="1"/>
    </xf>
    <xf numFmtId="164" fontId="1" fillId="2" borderId="13" xfId="17" applyFont="1" applyFill="1" applyBorder="1" applyAlignment="1">
      <alignment vertical="center" wrapText="1"/>
    </xf>
    <xf numFmtId="164" fontId="1" fillId="2" borderId="10" xfId="17" applyFont="1" applyFill="1" applyBorder="1" applyAlignment="1">
      <alignment vertical="center" wrapText="1"/>
    </xf>
    <xf numFmtId="0" fontId="3" fillId="0" borderId="6" xfId="0" applyFont="1" applyFill="1" applyBorder="1" applyAlignment="1">
      <alignment horizontal="center" vertical="center" textRotation="180" wrapText="1"/>
    </xf>
    <xf numFmtId="0" fontId="3" fillId="0" borderId="13" xfId="0" applyFont="1" applyFill="1" applyBorder="1" applyAlignment="1">
      <alignment horizontal="center" vertical="center" textRotation="180" wrapText="1"/>
    </xf>
    <xf numFmtId="0" fontId="3" fillId="0" borderId="10" xfId="0" applyFont="1" applyFill="1" applyBorder="1" applyAlignment="1">
      <alignment horizontal="center" vertical="center" textRotation="180" wrapText="1"/>
    </xf>
    <xf numFmtId="0" fontId="13" fillId="0" borderId="6" xfId="0" applyFont="1" applyFill="1" applyBorder="1" applyAlignment="1">
      <alignment horizontal="center" vertical="center" textRotation="180" wrapText="1"/>
    </xf>
    <xf numFmtId="0" fontId="13" fillId="0" borderId="13" xfId="0" applyFont="1" applyFill="1" applyBorder="1" applyAlignment="1">
      <alignment horizontal="center" vertical="center" textRotation="180" wrapText="1"/>
    </xf>
    <xf numFmtId="0" fontId="13" fillId="0" borderId="10" xfId="0" applyFont="1" applyFill="1" applyBorder="1" applyAlignment="1">
      <alignment horizontal="center" vertical="center" textRotation="180" wrapText="1"/>
    </xf>
    <xf numFmtId="9" fontId="0" fillId="0" borderId="6"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164" fontId="1" fillId="2" borderId="6" xfId="17" applyFont="1" applyFill="1" applyBorder="1" applyAlignment="1">
      <alignment horizontal="center" vertical="center" wrapText="1"/>
    </xf>
    <xf numFmtId="164" fontId="1" fillId="2" borderId="13" xfId="17" applyFont="1" applyFill="1" applyBorder="1" applyAlignment="1">
      <alignment horizontal="center" vertical="center" wrapText="1"/>
    </xf>
    <xf numFmtId="164" fontId="1" fillId="2" borderId="10" xfId="17" applyFont="1" applyFill="1" applyBorder="1" applyAlignment="1">
      <alignment horizontal="center" vertical="center" wrapText="1"/>
    </xf>
    <xf numFmtId="3" fontId="12" fillId="2" borderId="1" xfId="0" applyNumberFormat="1" applyFont="1" applyFill="1" applyBorder="1" applyAlignment="1">
      <alignment horizontal="center" vertical="center" textRotation="180" wrapText="1"/>
    </xf>
    <xf numFmtId="3" fontId="1" fillId="2" borderId="1" xfId="0" applyNumberFormat="1" applyFont="1" applyFill="1" applyBorder="1" applyAlignment="1">
      <alignment horizontal="center" vertical="center" textRotation="180" wrapText="1"/>
    </xf>
    <xf numFmtId="3" fontId="1" fillId="2" borderId="6" xfId="0" applyNumberFormat="1" applyFont="1" applyFill="1" applyBorder="1" applyAlignment="1">
      <alignment horizontal="center" vertical="center" textRotation="180" wrapText="1"/>
    </xf>
    <xf numFmtId="3" fontId="1" fillId="2" borderId="10" xfId="0" applyNumberFormat="1" applyFont="1" applyFill="1" applyBorder="1" applyAlignment="1">
      <alignment horizontal="center" vertical="center" textRotation="180" wrapText="1"/>
    </xf>
    <xf numFmtId="1" fontId="12" fillId="0" borderId="6" xfId="0" applyNumberFormat="1" applyFont="1" applyFill="1" applyBorder="1" applyAlignment="1">
      <alignment horizontal="center" vertical="center" textRotation="180" wrapText="1"/>
    </xf>
    <xf numFmtId="1" fontId="12" fillId="0" borderId="13" xfId="0" applyNumberFormat="1" applyFont="1" applyFill="1" applyBorder="1" applyAlignment="1">
      <alignment horizontal="center" vertical="center" textRotation="180" wrapText="1"/>
    </xf>
    <xf numFmtId="1" fontId="12" fillId="0" borderId="10" xfId="0" applyNumberFormat="1" applyFont="1" applyFill="1" applyBorder="1" applyAlignment="1">
      <alignment horizontal="center" vertical="center" textRotation="180" wrapText="1"/>
    </xf>
    <xf numFmtId="1" fontId="1" fillId="0" borderId="6" xfId="0" applyNumberFormat="1" applyFont="1" applyFill="1" applyBorder="1" applyAlignment="1">
      <alignment horizontal="center" vertical="center" textRotation="180" wrapText="1"/>
    </xf>
    <xf numFmtId="1" fontId="1" fillId="0" borderId="13" xfId="0" applyNumberFormat="1" applyFont="1" applyFill="1" applyBorder="1" applyAlignment="1">
      <alignment horizontal="center" vertical="center" textRotation="180" wrapText="1"/>
    </xf>
    <xf numFmtId="1" fontId="1" fillId="0" borderId="10" xfId="0" applyNumberFormat="1" applyFont="1" applyFill="1" applyBorder="1" applyAlignment="1">
      <alignment horizontal="center" vertical="center" textRotation="180" wrapText="1"/>
    </xf>
    <xf numFmtId="1" fontId="1" fillId="2" borderId="22" xfId="0" applyNumberFormat="1" applyFont="1" applyFill="1" applyBorder="1" applyAlignment="1">
      <alignment horizontal="center" vertical="center" textRotation="180" wrapText="1"/>
    </xf>
    <xf numFmtId="1" fontId="1" fillId="2" borderId="13" xfId="0" applyNumberFormat="1" applyFont="1" applyFill="1" applyBorder="1" applyAlignment="1">
      <alignment horizontal="center" vertical="center" textRotation="180" wrapText="1"/>
    </xf>
    <xf numFmtId="1" fontId="1" fillId="2" borderId="61" xfId="0" applyNumberFormat="1" applyFont="1" applyFill="1" applyBorder="1" applyAlignment="1">
      <alignment horizontal="center" vertical="center" textRotation="180" wrapText="1"/>
    </xf>
    <xf numFmtId="0" fontId="13" fillId="2" borderId="10" xfId="0" applyFont="1" applyFill="1" applyBorder="1" applyAlignment="1">
      <alignment horizontal="center" vertical="center" textRotation="180" wrapText="1"/>
    </xf>
    <xf numFmtId="0" fontId="7" fillId="2" borderId="6" xfId="0" applyFont="1" applyFill="1" applyBorder="1" applyAlignment="1">
      <alignment horizontal="center" vertical="center" textRotation="1" wrapText="1"/>
    </xf>
    <xf numFmtId="0" fontId="7" fillId="2" borderId="13" xfId="0" applyFont="1" applyFill="1" applyBorder="1" applyAlignment="1">
      <alignment horizontal="center" vertical="center" textRotation="1" wrapText="1"/>
    </xf>
    <xf numFmtId="0" fontId="7" fillId="2" borderId="10" xfId="0" applyFont="1" applyFill="1" applyBorder="1" applyAlignment="1">
      <alignment horizontal="center" vertical="center" textRotation="1" wrapText="1"/>
    </xf>
    <xf numFmtId="42" fontId="1" fillId="2" borderId="10" xfId="16" applyFont="1" applyFill="1" applyBorder="1" applyAlignment="1">
      <alignment horizontal="center" vertical="center" wrapText="1"/>
    </xf>
    <xf numFmtId="0" fontId="11" fillId="10" borderId="1" xfId="0" applyFont="1" applyFill="1" applyBorder="1" applyAlignment="1">
      <alignment horizontal="center" vertical="center" wrapText="1"/>
    </xf>
    <xf numFmtId="164" fontId="9" fillId="10" borderId="1" xfId="17" applyFont="1" applyFill="1" applyBorder="1" applyAlignment="1">
      <alignment horizontal="center" vertical="center" wrapText="1"/>
    </xf>
    <xf numFmtId="164" fontId="9" fillId="10" borderId="1" xfId="17" applyFont="1" applyFill="1" applyBorder="1" applyAlignment="1">
      <alignment vertical="center" wrapText="1"/>
    </xf>
    <xf numFmtId="0" fontId="3" fillId="3" borderId="2"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10" xfId="0" applyFont="1" applyFill="1" applyBorder="1" applyAlignment="1">
      <alignment horizontal="center" vertical="center" wrapText="1"/>
    </xf>
    <xf numFmtId="9" fontId="9" fillId="10" borderId="6" xfId="3"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10" xfId="0" applyFont="1" applyFill="1" applyBorder="1" applyAlignment="1">
      <alignment horizontal="center" vertical="center" wrapText="1"/>
    </xf>
    <xf numFmtId="169" fontId="7" fillId="0" borderId="1" xfId="9" applyNumberFormat="1" applyFont="1" applyFill="1" applyBorder="1" applyAlignment="1">
      <alignment horizontal="center" vertical="center" wrapText="1"/>
    </xf>
    <xf numFmtId="169" fontId="7" fillId="0" borderId="6" xfId="9" applyNumberFormat="1" applyFont="1" applyFill="1" applyBorder="1" applyAlignment="1">
      <alignment horizontal="center" vertical="center" wrapText="1"/>
    </xf>
    <xf numFmtId="169" fontId="12" fillId="0" borderId="6" xfId="9" applyNumberFormat="1" applyFont="1" applyFill="1" applyBorder="1" applyAlignment="1">
      <alignment horizontal="center" vertical="center" wrapText="1"/>
    </xf>
    <xf numFmtId="169" fontId="12" fillId="0" borderId="13" xfId="9" applyNumberFormat="1" applyFont="1" applyFill="1" applyBorder="1" applyAlignment="1">
      <alignment horizontal="center" vertical="center" wrapText="1"/>
    </xf>
    <xf numFmtId="169" fontId="12" fillId="0" borderId="10" xfId="9" applyNumberFormat="1" applyFont="1" applyFill="1" applyBorder="1" applyAlignment="1">
      <alignment horizontal="center" vertical="center" wrapText="1"/>
    </xf>
    <xf numFmtId="3" fontId="7" fillId="0" borderId="33" xfId="9" applyNumberFormat="1" applyFont="1" applyFill="1" applyBorder="1" applyAlignment="1">
      <alignment horizontal="center" vertical="center" wrapText="1"/>
    </xf>
    <xf numFmtId="3" fontId="7" fillId="0" borderId="42" xfId="9" applyNumberFormat="1" applyFont="1" applyFill="1" applyBorder="1" applyAlignment="1">
      <alignment horizontal="center" vertical="center" wrapText="1"/>
    </xf>
    <xf numFmtId="167" fontId="3" fillId="0" borderId="54" xfId="9" applyFont="1" applyFill="1" applyBorder="1" applyAlignment="1">
      <alignment horizontal="center" vertical="center"/>
    </xf>
    <xf numFmtId="167" fontId="3" fillId="0" borderId="18" xfId="9" applyFont="1" applyFill="1" applyBorder="1" applyAlignment="1">
      <alignment horizontal="center" vertical="center"/>
    </xf>
    <xf numFmtId="9" fontId="7" fillId="0" borderId="6" xfId="5" applyNumberFormat="1" applyFont="1" applyFill="1" applyBorder="1" applyAlignment="1">
      <alignment horizontal="center" vertical="center" wrapText="1"/>
    </xf>
    <xf numFmtId="9" fontId="7" fillId="0" borderId="13" xfId="5" applyNumberFormat="1" applyFont="1" applyFill="1" applyBorder="1" applyAlignment="1">
      <alignment horizontal="center" vertical="center" wrapText="1"/>
    </xf>
    <xf numFmtId="9" fontId="7" fillId="0" borderId="10" xfId="5" applyNumberFormat="1" applyFont="1" applyFill="1" applyBorder="1" applyAlignment="1">
      <alignment horizontal="center" vertical="center" wrapText="1"/>
    </xf>
    <xf numFmtId="1" fontId="7" fillId="0" borderId="6" xfId="9" applyNumberFormat="1" applyFont="1" applyFill="1" applyBorder="1" applyAlignment="1">
      <alignment horizontal="center" vertical="center" wrapText="1"/>
    </xf>
    <xf numFmtId="1" fontId="7" fillId="0" borderId="13" xfId="9" applyNumberFormat="1" applyFont="1" applyFill="1" applyBorder="1" applyAlignment="1">
      <alignment horizontal="center" vertical="center" wrapText="1"/>
    </xf>
    <xf numFmtId="1" fontId="7" fillId="0" borderId="10" xfId="9" applyNumberFormat="1" applyFont="1" applyFill="1" applyBorder="1" applyAlignment="1">
      <alignment horizontal="center" vertical="center" wrapText="1"/>
    </xf>
    <xf numFmtId="1" fontId="7" fillId="0" borderId="1" xfId="9" applyNumberFormat="1" applyFont="1" applyFill="1" applyBorder="1" applyAlignment="1">
      <alignment horizontal="center" vertical="center" textRotation="180" wrapText="1"/>
    </xf>
    <xf numFmtId="1" fontId="7" fillId="0" borderId="6" xfId="9" applyNumberFormat="1" applyFont="1" applyFill="1" applyBorder="1" applyAlignment="1">
      <alignment horizontal="center" vertical="center" textRotation="180" wrapText="1"/>
    </xf>
    <xf numFmtId="1" fontId="12" fillId="0" borderId="6" xfId="9" applyNumberFormat="1" applyFont="1" applyFill="1" applyBorder="1" applyAlignment="1">
      <alignment horizontal="center" vertical="center" textRotation="180" wrapText="1"/>
    </xf>
    <xf numFmtId="1" fontId="12" fillId="0" borderId="13" xfId="9" applyNumberFormat="1" applyFont="1" applyFill="1" applyBorder="1" applyAlignment="1">
      <alignment horizontal="center" vertical="center" textRotation="180" wrapText="1"/>
    </xf>
    <xf numFmtId="1" fontId="12" fillId="0" borderId="10" xfId="9" applyNumberFormat="1" applyFont="1" applyFill="1" applyBorder="1" applyAlignment="1">
      <alignment horizontal="center" vertical="center" textRotation="180" wrapText="1"/>
    </xf>
    <xf numFmtId="176" fontId="12" fillId="0" borderId="6" xfId="15" applyNumberFormat="1" applyFont="1" applyFill="1" applyBorder="1" applyAlignment="1">
      <alignment vertical="center"/>
    </xf>
    <xf numFmtId="176" fontId="12" fillId="0" borderId="13" xfId="15" applyNumberFormat="1" applyFont="1" applyFill="1" applyBorder="1" applyAlignment="1">
      <alignment vertical="center"/>
    </xf>
    <xf numFmtId="176" fontId="12" fillId="0" borderId="10" xfId="15" applyNumberFormat="1" applyFont="1" applyFill="1" applyBorder="1" applyAlignment="1">
      <alignment vertical="center"/>
    </xf>
    <xf numFmtId="0" fontId="15" fillId="0" borderId="6" xfId="0" applyFont="1" applyBorder="1" applyAlignment="1">
      <alignment horizontal="justify" vertical="center"/>
    </xf>
    <xf numFmtId="0" fontId="15" fillId="0" borderId="13" xfId="0" applyFont="1" applyBorder="1" applyAlignment="1">
      <alignment horizontal="justify"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170" fontId="7" fillId="0" borderId="6" xfId="9" applyNumberFormat="1" applyFont="1" applyFill="1" applyBorder="1" applyAlignment="1">
      <alignment horizontal="center" vertical="center" wrapText="1"/>
    </xf>
    <xf numFmtId="170" fontId="7" fillId="0" borderId="13" xfId="9" applyNumberFormat="1" applyFont="1" applyFill="1" applyBorder="1" applyAlignment="1">
      <alignment horizontal="center" vertical="center" wrapText="1"/>
    </xf>
    <xf numFmtId="167" fontId="3" fillId="3" borderId="4" xfId="9" applyFont="1" applyFill="1" applyBorder="1" applyAlignment="1">
      <alignment horizontal="center" vertical="center" wrapText="1"/>
    </xf>
    <xf numFmtId="167" fontId="3" fillId="3" borderId="12" xfId="9" applyFont="1" applyFill="1" applyBorder="1" applyAlignment="1">
      <alignment horizontal="center" vertical="center" wrapText="1"/>
    </xf>
    <xf numFmtId="167" fontId="3" fillId="3" borderId="5" xfId="9" applyFont="1" applyFill="1" applyBorder="1" applyAlignment="1">
      <alignment horizontal="center" vertical="center" wrapText="1"/>
    </xf>
    <xf numFmtId="167" fontId="3" fillId="3" borderId="8" xfId="9" applyFont="1" applyFill="1" applyBorder="1" applyAlignment="1">
      <alignment horizontal="center" vertical="center" wrapText="1"/>
    </xf>
    <xf numFmtId="167" fontId="3" fillId="3" borderId="2" xfId="9" applyFont="1" applyFill="1" applyBorder="1" applyAlignment="1">
      <alignment horizontal="center" vertical="center" wrapText="1"/>
    </xf>
    <xf numFmtId="167" fontId="3" fillId="3" borderId="9" xfId="9" applyFont="1" applyFill="1" applyBorder="1" applyAlignment="1">
      <alignment horizontal="center" vertical="center" wrapText="1"/>
    </xf>
    <xf numFmtId="167" fontId="3" fillId="3" borderId="6" xfId="9" applyFont="1" applyFill="1" applyBorder="1" applyAlignment="1">
      <alignment horizontal="center" vertical="center" wrapText="1"/>
    </xf>
    <xf numFmtId="167" fontId="3" fillId="3" borderId="13" xfId="9" applyFont="1" applyFill="1" applyBorder="1" applyAlignment="1">
      <alignment horizontal="center" vertical="center" wrapText="1"/>
    </xf>
    <xf numFmtId="167" fontId="3" fillId="3" borderId="10" xfId="9" applyFont="1" applyFill="1" applyBorder="1" applyAlignment="1">
      <alignment horizontal="center" vertical="center" wrapText="1"/>
    </xf>
    <xf numFmtId="167" fontId="7" fillId="0" borderId="1" xfId="9" applyFont="1" applyFill="1" applyBorder="1" applyAlignment="1">
      <alignment horizontal="justify" vertical="center" wrapText="1"/>
    </xf>
    <xf numFmtId="167" fontId="7" fillId="0" borderId="6" xfId="9" applyFont="1" applyFill="1" applyBorder="1" applyAlignment="1">
      <alignment horizontal="justify" vertical="center" wrapText="1"/>
    </xf>
    <xf numFmtId="0" fontId="7" fillId="0" borderId="1" xfId="9" applyNumberFormat="1" applyFont="1" applyFill="1" applyBorder="1" applyAlignment="1">
      <alignment horizontal="center" vertical="center" wrapText="1"/>
    </xf>
    <xf numFmtId="0" fontId="7" fillId="0" borderId="6" xfId="9" applyNumberFormat="1" applyFont="1" applyFill="1" applyBorder="1" applyAlignment="1">
      <alignment horizontal="center" vertical="center" wrapText="1"/>
    </xf>
    <xf numFmtId="167" fontId="7" fillId="0" borderId="1" xfId="9" applyFont="1" applyFill="1" applyBorder="1" applyAlignment="1">
      <alignment horizontal="center" vertical="center" wrapText="1"/>
    </xf>
    <xf numFmtId="167" fontId="7" fillId="0" borderId="6" xfId="9" applyFont="1" applyFill="1" applyBorder="1" applyAlignment="1">
      <alignment horizontal="center" vertical="center" wrapText="1"/>
    </xf>
    <xf numFmtId="167" fontId="3" fillId="0" borderId="53" xfId="9" applyFont="1" applyFill="1" applyBorder="1" applyAlignment="1">
      <alignment horizontal="center" vertical="center" wrapText="1"/>
    </xf>
    <xf numFmtId="167" fontId="3" fillId="0" borderId="1" xfId="9" applyFont="1" applyFill="1" applyBorder="1" applyAlignment="1">
      <alignment horizontal="center" vertical="center" wrapText="1"/>
    </xf>
    <xf numFmtId="167" fontId="3" fillId="0" borderId="52" xfId="9" applyFont="1" applyFill="1" applyBorder="1" applyAlignment="1">
      <alignment horizontal="center" vertical="center" wrapText="1"/>
    </xf>
    <xf numFmtId="167" fontId="3" fillId="0" borderId="6" xfId="9" applyFont="1" applyFill="1" applyBorder="1" applyAlignment="1">
      <alignment horizontal="center" vertical="center" wrapText="1"/>
    </xf>
    <xf numFmtId="167" fontId="3" fillId="0" borderId="4" xfId="9" applyFont="1" applyFill="1" applyBorder="1" applyAlignment="1">
      <alignment horizontal="center" vertical="center" wrapText="1"/>
    </xf>
    <xf numFmtId="167" fontId="3" fillId="0" borderId="12" xfId="9" applyFont="1" applyFill="1" applyBorder="1" applyAlignment="1">
      <alignment horizontal="center" vertical="center" wrapText="1"/>
    </xf>
    <xf numFmtId="167" fontId="3" fillId="0" borderId="5" xfId="9" applyFont="1" applyFill="1" applyBorder="1" applyAlignment="1">
      <alignment horizontal="center" vertical="center" wrapText="1"/>
    </xf>
    <xf numFmtId="167" fontId="3" fillId="0" borderId="15" xfId="9" applyFont="1" applyFill="1" applyBorder="1" applyAlignment="1">
      <alignment horizontal="center" vertical="center" wrapText="1"/>
    </xf>
    <xf numFmtId="167" fontId="3" fillId="0" borderId="0" xfId="9" applyFont="1" applyFill="1" applyBorder="1" applyAlignment="1">
      <alignment horizontal="center" vertical="center" wrapText="1"/>
    </xf>
    <xf numFmtId="167" fontId="3" fillId="0" borderId="14" xfId="9" applyFont="1" applyFill="1" applyBorder="1" applyAlignment="1">
      <alignment horizontal="center" vertical="center" wrapText="1"/>
    </xf>
    <xf numFmtId="167" fontId="3" fillId="0" borderId="8" xfId="9" applyFont="1" applyFill="1" applyBorder="1" applyAlignment="1">
      <alignment horizontal="center" vertical="center" wrapText="1"/>
    </xf>
    <xf numFmtId="167" fontId="3" fillId="0" borderId="2" xfId="9" applyFont="1" applyFill="1" applyBorder="1" applyAlignment="1">
      <alignment horizontal="center" vertical="center" wrapText="1"/>
    </xf>
    <xf numFmtId="167" fontId="3" fillId="0" borderId="9" xfId="9" applyFont="1" applyFill="1" applyBorder="1" applyAlignment="1">
      <alignment horizontal="center" vertical="center" wrapText="1"/>
    </xf>
    <xf numFmtId="1" fontId="7" fillId="0" borderId="4" xfId="9" applyNumberFormat="1" applyFont="1" applyFill="1" applyBorder="1" applyAlignment="1">
      <alignment horizontal="center" vertical="center" wrapText="1"/>
    </xf>
    <xf numFmtId="1" fontId="7" fillId="0" borderId="12" xfId="9" applyNumberFormat="1" applyFont="1" applyFill="1" applyBorder="1" applyAlignment="1">
      <alignment horizontal="center" vertical="center" wrapText="1"/>
    </xf>
    <xf numFmtId="1" fontId="7" fillId="0" borderId="5" xfId="9" applyNumberFormat="1" applyFont="1" applyFill="1" applyBorder="1" applyAlignment="1">
      <alignment horizontal="center" vertical="center" wrapText="1"/>
    </xf>
    <xf numFmtId="1" fontId="7" fillId="0" borderId="8" xfId="9" applyNumberFormat="1" applyFont="1" applyFill="1" applyBorder="1" applyAlignment="1">
      <alignment horizontal="center" vertical="center" wrapText="1"/>
    </xf>
    <xf numFmtId="1" fontId="7" fillId="0" borderId="2" xfId="9" applyNumberFormat="1" applyFont="1" applyFill="1" applyBorder="1" applyAlignment="1">
      <alignment horizontal="center" vertical="center" wrapText="1"/>
    </xf>
    <xf numFmtId="1" fontId="7" fillId="0" borderId="9" xfId="9" applyNumberFormat="1" applyFont="1" applyFill="1" applyBorder="1" applyAlignment="1">
      <alignment horizontal="center" vertical="center" wrapText="1"/>
    </xf>
    <xf numFmtId="1" fontId="7" fillId="0" borderId="1" xfId="9" applyNumberFormat="1" applyFont="1" applyFill="1" applyBorder="1" applyAlignment="1">
      <alignment horizontal="center" vertical="center" wrapText="1"/>
    </xf>
    <xf numFmtId="167" fontId="7" fillId="0" borderId="13" xfId="9" applyFont="1" applyFill="1" applyBorder="1" applyAlignment="1">
      <alignment horizontal="center" vertical="center" wrapText="1"/>
    </xf>
    <xf numFmtId="167" fontId="3" fillId="3" borderId="7" xfId="9" applyFont="1" applyFill="1" applyBorder="1" applyAlignment="1">
      <alignment horizontal="center" vertical="center" wrapText="1"/>
    </xf>
    <xf numFmtId="167" fontId="3" fillId="3" borderId="3" xfId="9" applyFont="1" applyFill="1" applyBorder="1" applyAlignment="1">
      <alignment horizontal="center" vertical="center" wrapText="1"/>
    </xf>
    <xf numFmtId="167" fontId="3" fillId="3" borderId="7" xfId="9" applyFont="1" applyFill="1" applyBorder="1" applyAlignment="1">
      <alignment horizontal="center" vertical="center"/>
    </xf>
    <xf numFmtId="167" fontId="3" fillId="3" borderId="11" xfId="9" applyFont="1" applyFill="1" applyBorder="1" applyAlignment="1">
      <alignment horizontal="center" vertical="center"/>
    </xf>
    <xf numFmtId="167" fontId="3" fillId="3" borderId="3" xfId="9" applyFont="1" applyFill="1" applyBorder="1" applyAlignment="1">
      <alignment horizontal="center" vertical="center"/>
    </xf>
    <xf numFmtId="167" fontId="3" fillId="0" borderId="0" xfId="9" applyFont="1" applyBorder="1" applyAlignment="1">
      <alignment horizontal="center" vertical="center" wrapText="1"/>
    </xf>
    <xf numFmtId="167" fontId="3" fillId="3" borderId="52" xfId="9" applyFont="1" applyFill="1" applyBorder="1" applyAlignment="1">
      <alignment horizontal="center" vertical="center" wrapText="1"/>
    </xf>
    <xf numFmtId="167" fontId="3" fillId="3" borderId="27" xfId="9" applyFont="1" applyFill="1" applyBorder="1" applyAlignment="1">
      <alignment horizontal="center" vertical="center" wrapText="1"/>
    </xf>
    <xf numFmtId="167" fontId="3" fillId="3" borderId="29" xfId="9" applyFont="1" applyFill="1" applyBorder="1" applyAlignment="1">
      <alignment horizontal="center" vertical="center" wrapText="1"/>
    </xf>
    <xf numFmtId="167" fontId="3" fillId="3" borderId="15" xfId="9" applyFont="1" applyFill="1" applyBorder="1" applyAlignment="1">
      <alignment horizontal="center" vertical="center" wrapText="1"/>
    </xf>
    <xf numFmtId="167" fontId="3" fillId="3" borderId="14" xfId="9" applyFont="1" applyFill="1" applyBorder="1" applyAlignment="1">
      <alignment horizontal="center" vertical="center" wrapText="1"/>
    </xf>
    <xf numFmtId="169" fontId="3" fillId="3" borderId="4" xfId="9" applyNumberFormat="1" applyFont="1" applyFill="1" applyBorder="1" applyAlignment="1">
      <alignment horizontal="center" vertical="center" wrapText="1"/>
    </xf>
    <xf numFmtId="169" fontId="3" fillId="3" borderId="5" xfId="9" applyNumberFormat="1" applyFont="1" applyFill="1" applyBorder="1" applyAlignment="1">
      <alignment horizontal="center" vertical="center" wrapText="1"/>
    </xf>
    <xf numFmtId="169" fontId="3" fillId="3" borderId="8" xfId="9" applyNumberFormat="1" applyFont="1" applyFill="1" applyBorder="1" applyAlignment="1">
      <alignment horizontal="center" vertical="center" wrapText="1"/>
    </xf>
    <xf numFmtId="169" fontId="3" fillId="3" borderId="9" xfId="9" applyNumberFormat="1" applyFont="1" applyFill="1" applyBorder="1" applyAlignment="1">
      <alignment horizontal="center" vertical="center" wrapText="1"/>
    </xf>
    <xf numFmtId="3" fontId="3" fillId="3" borderId="42" xfId="9" applyNumberFormat="1" applyFont="1" applyFill="1" applyBorder="1" applyAlignment="1">
      <alignment horizontal="center" vertical="center" wrapText="1"/>
    </xf>
    <xf numFmtId="3" fontId="3" fillId="3" borderId="30" xfId="9" applyNumberFormat="1" applyFont="1" applyFill="1" applyBorder="1" applyAlignment="1">
      <alignment horizontal="center" vertical="center" wrapText="1"/>
    </xf>
    <xf numFmtId="49" fontId="3" fillId="3" borderId="7" xfId="9" applyNumberFormat="1" applyFont="1" applyFill="1" applyBorder="1" applyAlignment="1">
      <alignment horizontal="center" vertical="center" wrapText="1"/>
    </xf>
    <xf numFmtId="49" fontId="3" fillId="3" borderId="3" xfId="9" applyNumberFormat="1" applyFont="1" applyFill="1" applyBorder="1" applyAlignment="1">
      <alignment horizontal="center" vertical="center" wrapText="1"/>
    </xf>
    <xf numFmtId="170" fontId="1" fillId="0" borderId="6" xfId="0" applyNumberFormat="1" applyFont="1" applyFill="1" applyBorder="1" applyAlignment="1">
      <alignment vertical="center" wrapText="1"/>
    </xf>
    <xf numFmtId="170" fontId="1" fillId="0" borderId="10" xfId="0" applyNumberFormat="1" applyFont="1" applyBorder="1" applyAlignment="1">
      <alignment vertical="center" wrapText="1"/>
    </xf>
    <xf numFmtId="0" fontId="1" fillId="0" borderId="10" xfId="0" applyFont="1" applyBorder="1" applyAlignment="1">
      <alignment horizontal="justify" vertical="center" wrapText="1"/>
    </xf>
    <xf numFmtId="0" fontId="1" fillId="0" borderId="1" xfId="0" applyFont="1" applyBorder="1" applyAlignment="1">
      <alignment horizontal="justify" vertical="center" wrapText="1"/>
    </xf>
    <xf numFmtId="3" fontId="12" fillId="0" borderId="6"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6" xfId="0" applyFont="1" applyBorder="1" applyAlignment="1">
      <alignment horizontal="justify" vertical="center" wrapText="1"/>
    </xf>
    <xf numFmtId="170" fontId="7" fillId="0" borderId="1" xfId="0" applyNumberFormat="1" applyFont="1" applyFill="1" applyBorder="1" applyAlignment="1">
      <alignment horizontal="center" vertical="center"/>
    </xf>
    <xf numFmtId="164" fontId="12" fillId="0" borderId="1" xfId="17" applyFont="1" applyFill="1" applyBorder="1" applyAlignment="1">
      <alignment horizontal="center" vertical="center" wrapText="1"/>
    </xf>
    <xf numFmtId="164" fontId="12" fillId="0" borderId="1" xfId="17" applyFont="1" applyFill="1" applyBorder="1" applyAlignment="1">
      <alignment horizontal="center" vertical="center"/>
    </xf>
    <xf numFmtId="164" fontId="7" fillId="0" borderId="1" xfId="17" applyFont="1" applyFill="1" applyBorder="1" applyAlignment="1">
      <alignment horizontal="center" vertical="center" wrapText="1"/>
    </xf>
    <xf numFmtId="165" fontId="1" fillId="0" borderId="6" xfId="15" applyFont="1" applyFill="1" applyBorder="1" applyAlignment="1">
      <alignment horizontal="center" vertical="center" wrapText="1"/>
    </xf>
    <xf numFmtId="165" fontId="1" fillId="0" borderId="13" xfId="15" applyFont="1" applyFill="1" applyBorder="1" applyAlignment="1">
      <alignment horizontal="center" vertical="center" wrapText="1"/>
    </xf>
    <xf numFmtId="165" fontId="1" fillId="0" borderId="10" xfId="15" applyFont="1" applyFill="1" applyBorder="1" applyAlignment="1">
      <alignment horizontal="center" vertical="center" wrapText="1"/>
    </xf>
    <xf numFmtId="170" fontId="1" fillId="0" borderId="13" xfId="0" applyNumberFormat="1" applyFont="1" applyBorder="1" applyAlignment="1">
      <alignment vertical="center" wrapText="1"/>
    </xf>
    <xf numFmtId="0" fontId="1" fillId="0" borderId="13" xfId="0" applyFont="1" applyBorder="1" applyAlignment="1">
      <alignment horizontal="justify" vertical="center" wrapText="1"/>
    </xf>
    <xf numFmtId="170" fontId="1" fillId="0" borderId="6" xfId="15"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Border="1" applyAlignment="1">
      <alignment horizontal="justify" vertical="center" wrapText="1" readingOrder="2"/>
    </xf>
    <xf numFmtId="0" fontId="1" fillId="0" borderId="13" xfId="0" applyFont="1" applyBorder="1" applyAlignment="1">
      <alignment horizontal="justify" wrapText="1"/>
    </xf>
    <xf numFmtId="0" fontId="1" fillId="0" borderId="10" xfId="0" applyFont="1" applyBorder="1" applyAlignment="1">
      <alignment horizontal="justify" wrapText="1"/>
    </xf>
    <xf numFmtId="165" fontId="12" fillId="0" borderId="1" xfId="15" applyFont="1" applyFill="1" applyBorder="1" applyAlignment="1">
      <alignment horizontal="center" vertical="center" wrapText="1"/>
    </xf>
    <xf numFmtId="170" fontId="1" fillId="0" borderId="6" xfId="0" applyNumberFormat="1" applyFont="1" applyBorder="1" applyAlignment="1">
      <alignment vertical="center" wrapText="1"/>
    </xf>
    <xf numFmtId="0" fontId="8" fillId="0" borderId="6" xfId="0" applyFont="1" applyBorder="1" applyAlignment="1">
      <alignment horizontal="justify" vertical="center" wrapText="1" readingOrder="2"/>
    </xf>
    <xf numFmtId="0" fontId="8" fillId="0" borderId="13" xfId="0" applyFont="1" applyBorder="1" applyAlignment="1">
      <alignment horizontal="justify" vertical="center" wrapText="1" readingOrder="2"/>
    </xf>
    <xf numFmtId="0" fontId="8" fillId="0" borderId="10" xfId="0" applyFont="1" applyBorder="1" applyAlignment="1">
      <alignment horizontal="justify" vertical="center" wrapText="1" readingOrder="2"/>
    </xf>
    <xf numFmtId="0" fontId="1" fillId="0" borderId="6" xfId="0" applyFont="1" applyBorder="1" applyAlignment="1">
      <alignment horizontal="center" vertical="center" wrapText="1" readingOrder="2"/>
    </xf>
    <xf numFmtId="0" fontId="1" fillId="0" borderId="13" xfId="0" applyFont="1" applyBorder="1" applyAlignment="1">
      <alignment wrapText="1"/>
    </xf>
    <xf numFmtId="0" fontId="1" fillId="0" borderId="10" xfId="0" applyFont="1" applyBorder="1" applyAlignment="1">
      <alignment wrapText="1"/>
    </xf>
    <xf numFmtId="9" fontId="1" fillId="0" borderId="6"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64" fontId="7" fillId="0" borderId="6" xfId="17" applyFont="1" applyFill="1" applyBorder="1" applyAlignment="1">
      <alignment horizontal="center" vertical="center" wrapText="1"/>
    </xf>
    <xf numFmtId="164" fontId="7" fillId="0" borderId="13" xfId="17" applyFont="1" applyFill="1" applyBorder="1" applyAlignment="1">
      <alignment horizontal="center" vertical="center" wrapText="1"/>
    </xf>
    <xf numFmtId="164" fontId="7" fillId="0" borderId="10" xfId="17" applyFont="1" applyFill="1" applyBorder="1" applyAlignment="1">
      <alignment horizontal="center" vertical="center" wrapText="1"/>
    </xf>
    <xf numFmtId="164" fontId="12" fillId="0" borderId="6" xfId="17" applyFont="1" applyFill="1" applyBorder="1" applyAlignment="1">
      <alignment horizontal="center" vertical="center" wrapText="1"/>
    </xf>
    <xf numFmtId="164" fontId="12" fillId="0" borderId="13" xfId="17" applyFont="1" applyFill="1" applyBorder="1" applyAlignment="1">
      <alignment horizontal="center" vertical="center" wrapText="1"/>
    </xf>
    <xf numFmtId="164" fontId="12" fillId="0" borderId="10" xfId="17" applyFont="1" applyFill="1" applyBorder="1" applyAlignment="1">
      <alignment horizontal="center" vertical="center" wrapText="1"/>
    </xf>
    <xf numFmtId="170" fontId="1" fillId="0" borderId="13" xfId="0" applyNumberFormat="1" applyFont="1" applyFill="1" applyBorder="1" applyAlignment="1">
      <alignment vertical="center" wrapText="1"/>
    </xf>
    <xf numFmtId="170" fontId="1" fillId="0" borderId="10" xfId="0" applyNumberFormat="1" applyFont="1" applyFill="1" applyBorder="1" applyAlignment="1">
      <alignment vertical="center" wrapText="1"/>
    </xf>
    <xf numFmtId="0" fontId="3" fillId="0" borderId="8"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65" fontId="9" fillId="10" borderId="1" xfId="15" applyFont="1" applyFill="1" applyBorder="1" applyAlignment="1">
      <alignment horizontal="center" vertical="center" wrapText="1"/>
    </xf>
    <xf numFmtId="164" fontId="3" fillId="3" borderId="4" xfId="17" applyFont="1" applyFill="1" applyBorder="1" applyAlignment="1">
      <alignment horizontal="center" vertical="center" wrapText="1"/>
    </xf>
    <xf numFmtId="164" fontId="3" fillId="3" borderId="12" xfId="17" applyFont="1" applyFill="1" applyBorder="1" applyAlignment="1">
      <alignment horizontal="center" vertical="center" wrapText="1"/>
    </xf>
    <xf numFmtId="164" fontId="3" fillId="3" borderId="5" xfId="17" applyFont="1" applyFill="1" applyBorder="1" applyAlignment="1">
      <alignment horizontal="center" vertical="center" wrapText="1"/>
    </xf>
    <xf numFmtId="164" fontId="3" fillId="3" borderId="15" xfId="17" applyFont="1" applyFill="1" applyBorder="1" applyAlignment="1">
      <alignment horizontal="center" vertical="center" wrapText="1"/>
    </xf>
    <xf numFmtId="164" fontId="3" fillId="3" borderId="0" xfId="17" applyFont="1" applyFill="1" applyBorder="1" applyAlignment="1">
      <alignment horizontal="center" vertical="center" wrapText="1"/>
    </xf>
    <xf numFmtId="164" fontId="3" fillId="3" borderId="14" xfId="17" applyFont="1" applyFill="1" applyBorder="1" applyAlignment="1">
      <alignment horizontal="center" vertical="center" wrapText="1"/>
    </xf>
    <xf numFmtId="170" fontId="3" fillId="3" borderId="6" xfId="0" applyNumberFormat="1" applyFont="1" applyFill="1" applyBorder="1" applyAlignment="1">
      <alignment horizontal="center" vertical="center" wrapText="1"/>
    </xf>
    <xf numFmtId="170" fontId="3" fillId="3" borderId="13" xfId="0" applyNumberFormat="1" applyFont="1" applyFill="1" applyBorder="1" applyAlignment="1">
      <alignment horizontal="center" vertical="center" wrapText="1"/>
    </xf>
    <xf numFmtId="0" fontId="3" fillId="3" borderId="6"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0" borderId="0" xfId="0" applyFont="1" applyAlignment="1">
      <alignment horizontal="center" vertical="center"/>
    </xf>
    <xf numFmtId="0" fontId="3" fillId="11" borderId="7"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2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10" borderId="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2"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10" borderId="6" xfId="0" applyNumberFormat="1" applyFont="1" applyFill="1" applyBorder="1" applyAlignment="1">
      <alignment horizontal="center" vertical="center" wrapText="1"/>
    </xf>
    <xf numFmtId="3" fontId="3" fillId="10" borderId="13" xfId="0" applyNumberFormat="1" applyFont="1" applyFill="1" applyBorder="1" applyAlignment="1">
      <alignment horizontal="center" vertical="center" wrapText="1"/>
    </xf>
    <xf numFmtId="49" fontId="3" fillId="10" borderId="4" xfId="0" applyNumberFormat="1" applyFont="1" applyFill="1" applyBorder="1" applyAlignment="1">
      <alignment horizontal="center" vertical="center" wrapText="1"/>
    </xf>
    <xf numFmtId="49" fontId="3" fillId="10" borderId="5" xfId="0" applyNumberFormat="1" applyFont="1" applyFill="1" applyBorder="1" applyAlignment="1">
      <alignment horizontal="center" vertical="center" wrapText="1"/>
    </xf>
    <xf numFmtId="170" fontId="3" fillId="10" borderId="4" xfId="0" applyNumberFormat="1" applyFont="1" applyFill="1" applyBorder="1" applyAlignment="1">
      <alignment horizontal="center" vertical="center" wrapText="1"/>
    </xf>
    <xf numFmtId="170" fontId="3" fillId="10" borderId="12" xfId="0" applyNumberFormat="1" applyFont="1" applyFill="1" applyBorder="1" applyAlignment="1">
      <alignment horizontal="center" vertical="center" wrapText="1"/>
    </xf>
    <xf numFmtId="170" fontId="3" fillId="10" borderId="5" xfId="0" applyNumberFormat="1" applyFont="1" applyFill="1" applyBorder="1" applyAlignment="1">
      <alignment horizontal="center" vertical="center" wrapText="1"/>
    </xf>
    <xf numFmtId="170" fontId="3" fillId="10" borderId="15" xfId="0" applyNumberFormat="1" applyFont="1" applyFill="1" applyBorder="1" applyAlignment="1">
      <alignment horizontal="center" vertical="center" wrapText="1"/>
    </xf>
    <xf numFmtId="170" fontId="3" fillId="10" borderId="0" xfId="0" applyNumberFormat="1" applyFont="1" applyFill="1" applyBorder="1" applyAlignment="1">
      <alignment horizontal="center" vertical="center" wrapText="1"/>
    </xf>
    <xf numFmtId="170" fontId="3" fillId="10" borderId="14" xfId="0" applyNumberFormat="1" applyFont="1" applyFill="1" applyBorder="1" applyAlignment="1">
      <alignment horizontal="center" vertical="center" wrapText="1"/>
    </xf>
    <xf numFmtId="0" fontId="3" fillId="10" borderId="7"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5" xfId="0" applyFont="1" applyFill="1" applyBorder="1" applyAlignment="1">
      <alignment horizontal="center" vertical="center"/>
    </xf>
    <xf numFmtId="194" fontId="1" fillId="2" borderId="13" xfId="0" applyNumberFormat="1" applyFont="1" applyFill="1" applyBorder="1" applyAlignment="1">
      <alignment horizontal="center" vertical="center" wrapText="1"/>
    </xf>
    <xf numFmtId="194" fontId="1" fillId="2" borderId="10" xfId="0" applyNumberFormat="1" applyFont="1" applyFill="1" applyBorder="1" applyAlignment="1">
      <alignment horizontal="center" vertical="center" wrapText="1"/>
    </xf>
    <xf numFmtId="195" fontId="1" fillId="2" borderId="6" xfId="0" applyNumberFormat="1" applyFont="1" applyFill="1" applyBorder="1" applyAlignment="1">
      <alignment horizontal="center" vertical="center" wrapText="1"/>
    </xf>
    <xf numFmtId="195" fontId="1" fillId="2" borderId="13" xfId="0" applyNumberFormat="1" applyFont="1" applyFill="1" applyBorder="1" applyAlignment="1">
      <alignment horizontal="center" vertical="center" wrapText="1"/>
    </xf>
    <xf numFmtId="195" fontId="1" fillId="2" borderId="10" xfId="0" applyNumberFormat="1" applyFont="1" applyFill="1" applyBorder="1" applyAlignment="1">
      <alignment horizontal="center" vertical="center" wrapText="1"/>
    </xf>
    <xf numFmtId="170" fontId="3" fillId="10" borderId="6" xfId="0" applyNumberFormat="1" applyFont="1" applyFill="1" applyBorder="1" applyAlignment="1">
      <alignment horizontal="center" vertical="center" wrapText="1"/>
    </xf>
    <xf numFmtId="170" fontId="3" fillId="10" borderId="13" xfId="0" applyNumberFormat="1"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1" fillId="0" borderId="10" xfId="0" applyFont="1" applyBorder="1" applyAlignment="1">
      <alignment horizontal="center"/>
    </xf>
    <xf numFmtId="0" fontId="20" fillId="2" borderId="13" xfId="0" applyFont="1" applyFill="1" applyBorder="1" applyAlignment="1">
      <alignment horizontal="justify" vertical="center" wrapText="1"/>
    </xf>
    <xf numFmtId="0" fontId="20" fillId="2" borderId="10" xfId="0" applyFont="1" applyFill="1" applyBorder="1" applyAlignment="1">
      <alignment horizontal="justify" vertical="center" wrapText="1"/>
    </xf>
    <xf numFmtId="0" fontId="44" fillId="0" borderId="1" xfId="0" applyFont="1" applyFill="1" applyBorder="1" applyAlignment="1">
      <alignment horizontal="center" vertical="center" wrapText="1"/>
    </xf>
    <xf numFmtId="170" fontId="1" fillId="2" borderId="10" xfId="0" applyNumberFormat="1" applyFont="1" applyFill="1" applyBorder="1" applyAlignment="1">
      <alignment horizontal="center" vertical="center"/>
    </xf>
    <xf numFmtId="170" fontId="1" fillId="2" borderId="1" xfId="0" applyNumberFormat="1"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0" xfId="0"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1" fillId="2" borderId="13" xfId="0" applyNumberFormat="1" applyFont="1" applyFill="1" applyBorder="1" applyAlignment="1">
      <alignment horizontal="center" vertical="center"/>
    </xf>
    <xf numFmtId="14" fontId="1" fillId="2" borderId="10" xfId="0" applyNumberFormat="1" applyFont="1" applyFill="1" applyBorder="1" applyAlignment="1">
      <alignment horizontal="center" vertical="center"/>
    </xf>
    <xf numFmtId="14" fontId="12" fillId="2" borderId="13" xfId="0" applyNumberFormat="1"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183" fontId="1" fillId="0" borderId="6" xfId="0" applyNumberFormat="1" applyFont="1" applyFill="1" applyBorder="1" applyAlignment="1">
      <alignment horizontal="center" vertical="center"/>
    </xf>
    <xf numFmtId="183" fontId="1" fillId="0" borderId="13" xfId="0" applyNumberFormat="1" applyFont="1" applyFill="1" applyBorder="1" applyAlignment="1">
      <alignment horizontal="center" vertical="center"/>
    </xf>
    <xf numFmtId="183" fontId="1" fillId="0" borderId="10"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2" fillId="2" borderId="1" xfId="0" applyFont="1" applyFill="1" applyBorder="1" applyAlignment="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2" fillId="0" borderId="10" xfId="0" applyFont="1" applyBorder="1" applyAlignment="1">
      <alignment horizontal="center" vertical="center"/>
    </xf>
    <xf numFmtId="0" fontId="1" fillId="2" borderId="6"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6" xfId="0" applyNumberFormat="1" applyFont="1" applyFill="1" applyBorder="1" applyAlignment="1">
      <alignment horizontal="justify" vertical="center" wrapText="1"/>
    </xf>
    <xf numFmtId="0" fontId="1" fillId="2" borderId="10" xfId="0" applyNumberFormat="1" applyFont="1" applyFill="1" applyBorder="1" applyAlignment="1">
      <alignment horizontal="justify" vertical="center" wrapText="1"/>
    </xf>
    <xf numFmtId="0" fontId="12" fillId="2" borderId="6"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170" fontId="1" fillId="2" borderId="6" xfId="0" applyNumberFormat="1" applyFont="1" applyFill="1" applyBorder="1" applyAlignment="1">
      <alignment horizontal="center" vertical="center" wrapText="1"/>
    </xf>
    <xf numFmtId="170" fontId="1" fillId="2" borderId="10" xfId="0" applyNumberFormat="1" applyFont="1" applyFill="1" applyBorder="1" applyAlignment="1">
      <alignment horizontal="center" vertical="center" wrapText="1"/>
    </xf>
    <xf numFmtId="0" fontId="12" fillId="0" borderId="10" xfId="0" applyFont="1" applyBorder="1" applyAlignment="1">
      <alignment horizontal="center"/>
    </xf>
    <xf numFmtId="0" fontId="1" fillId="2" borderId="6" xfId="0" applyFont="1" applyFill="1" applyBorder="1" applyAlignment="1">
      <alignment horizontal="center"/>
    </xf>
    <xf numFmtId="0" fontId="1" fillId="2" borderId="10" xfId="0" applyFont="1" applyFill="1" applyBorder="1" applyAlignment="1">
      <alignment horizontal="center"/>
    </xf>
    <xf numFmtId="14" fontId="1"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0" fontId="1" fillId="2" borderId="1" xfId="0" applyFont="1" applyFill="1" applyBorder="1" applyAlignment="1">
      <alignment horizontal="center"/>
    </xf>
    <xf numFmtId="0" fontId="1" fillId="2" borderId="33" xfId="0" applyFont="1" applyFill="1" applyBorder="1" applyAlignment="1">
      <alignment horizontal="center" vertical="center" wrapText="1"/>
    </xf>
    <xf numFmtId="0" fontId="1" fillId="2" borderId="42" xfId="0" applyFont="1" applyFill="1" applyBorder="1" applyAlignment="1">
      <alignment horizontal="center" vertical="center" wrapText="1"/>
    </xf>
    <xf numFmtId="183" fontId="1" fillId="2" borderId="6" xfId="0" applyNumberFormat="1" applyFont="1" applyFill="1" applyBorder="1" applyAlignment="1">
      <alignment horizontal="center" vertical="center"/>
    </xf>
    <xf numFmtId="183" fontId="1" fillId="2" borderId="10" xfId="0" applyNumberFormat="1" applyFont="1" applyFill="1" applyBorder="1" applyAlignment="1">
      <alignment horizontal="center" vertical="center"/>
    </xf>
    <xf numFmtId="10" fontId="1" fillId="2" borderId="6" xfId="5" applyNumberFormat="1" applyFont="1" applyFill="1" applyBorder="1" applyAlignment="1">
      <alignment horizontal="center" vertical="center"/>
    </xf>
    <xf numFmtId="10" fontId="1" fillId="2" borderId="10" xfId="5" applyNumberFormat="1" applyFont="1"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194" fontId="1" fillId="2" borderId="6" xfId="0" applyNumberFormat="1"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0" fillId="2" borderId="6" xfId="0" applyFont="1" applyFill="1" applyBorder="1" applyAlignment="1">
      <alignment horizontal="justify" vertical="center" wrapText="1"/>
    </xf>
    <xf numFmtId="10" fontId="1" fillId="2" borderId="13" xfId="5" applyNumberFormat="1"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2" fillId="2" borderId="1" xfId="0" applyFont="1" applyFill="1" applyBorder="1" applyAlignment="1">
      <alignment horizontal="center" vertical="center"/>
    </xf>
    <xf numFmtId="183" fontId="1" fillId="2" borderId="13"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43" fontId="7" fillId="2" borderId="13" xfId="1" applyFont="1" applyFill="1" applyBorder="1" applyAlignment="1">
      <alignment horizontal="justify" vertical="center" wrapText="1"/>
    </xf>
    <xf numFmtId="43" fontId="7" fillId="2" borderId="10" xfId="1" applyFont="1" applyFill="1" applyBorder="1" applyAlignment="1">
      <alignment horizontal="justify" vertical="center" wrapText="1"/>
    </xf>
    <xf numFmtId="195" fontId="1" fillId="2" borderId="10" xfId="10" applyNumberFormat="1" applyFont="1" applyFill="1" applyBorder="1" applyAlignment="1">
      <alignment horizontal="center" vertical="center"/>
    </xf>
    <xf numFmtId="195" fontId="1" fillId="2" borderId="1" xfId="10" applyNumberFormat="1" applyFont="1" applyFill="1" applyBorder="1" applyAlignment="1">
      <alignment horizontal="center" vertical="center"/>
    </xf>
    <xf numFmtId="195" fontId="12" fillId="2" borderId="6" xfId="10" applyNumberFormat="1" applyFont="1" applyFill="1" applyBorder="1" applyAlignment="1">
      <alignment horizontal="center" vertical="center"/>
    </xf>
    <xf numFmtId="195" fontId="12" fillId="2" borderId="13" xfId="10" applyNumberFormat="1" applyFont="1" applyFill="1" applyBorder="1" applyAlignment="1">
      <alignment horizontal="center" vertical="center"/>
    </xf>
    <xf numFmtId="195" fontId="12" fillId="2" borderId="10" xfId="1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43" fontId="7" fillId="2" borderId="6" xfId="1" applyFont="1" applyFill="1" applyBorder="1" applyAlignment="1">
      <alignment horizontal="justify" vertic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7" fillId="2" borderId="6" xfId="12" applyNumberFormat="1" applyFont="1" applyFill="1" applyBorder="1" applyAlignment="1">
      <alignment horizontal="justify" vertical="center" wrapText="1"/>
    </xf>
    <xf numFmtId="0" fontId="7" fillId="2" borderId="13" xfId="12" applyNumberFormat="1" applyFont="1" applyFill="1" applyBorder="1" applyAlignment="1">
      <alignment horizontal="justify" vertical="center" wrapText="1"/>
    </xf>
    <xf numFmtId="0" fontId="7" fillId="2" borderId="10" xfId="12" applyNumberFormat="1" applyFont="1" applyFill="1" applyBorder="1" applyAlignment="1">
      <alignment horizontal="justify" vertical="center" wrapText="1"/>
    </xf>
    <xf numFmtId="0" fontId="12" fillId="2" borderId="13"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 fontId="7" fillId="2" borderId="10" xfId="3"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180" fontId="12" fillId="2" borderId="6" xfId="3" applyNumberFormat="1" applyFont="1" applyFill="1" applyBorder="1" applyAlignment="1">
      <alignment horizontal="center" vertical="center" wrapText="1"/>
    </xf>
    <xf numFmtId="180" fontId="12" fillId="2" borderId="13" xfId="3" applyNumberFormat="1" applyFont="1" applyFill="1" applyBorder="1" applyAlignment="1">
      <alignment horizontal="center" vertical="center" wrapText="1"/>
    </xf>
    <xf numFmtId="180" fontId="12" fillId="2" borderId="10" xfId="3" applyNumberFormat="1"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49" fontId="1" fillId="2" borderId="10" xfId="0" applyNumberFormat="1" applyFont="1" applyFill="1" applyBorder="1" applyAlignment="1">
      <alignment horizontal="left" vertical="center" wrapText="1"/>
    </xf>
    <xf numFmtId="183" fontId="0" fillId="0" borderId="6" xfId="0" applyNumberFormat="1" applyFont="1" applyFill="1" applyBorder="1" applyAlignment="1">
      <alignment horizontal="center" vertical="center"/>
    </xf>
    <xf numFmtId="183" fontId="0" fillId="0" borderId="10" xfId="0" applyNumberFormat="1" applyFont="1" applyFill="1" applyBorder="1" applyAlignment="1">
      <alignment horizontal="center" vertical="center"/>
    </xf>
    <xf numFmtId="183" fontId="35" fillId="0" borderId="6" xfId="0" applyNumberFormat="1" applyFont="1" applyFill="1" applyBorder="1" applyAlignment="1">
      <alignment horizontal="center" vertical="center"/>
    </xf>
    <xf numFmtId="183" fontId="35" fillId="0" borderId="10" xfId="0" applyNumberFormat="1" applyFont="1" applyFill="1" applyBorder="1" applyAlignment="1">
      <alignment horizontal="center" vertical="center"/>
    </xf>
    <xf numFmtId="180" fontId="12" fillId="2" borderId="6" xfId="0" applyNumberFormat="1" applyFont="1" applyFill="1" applyBorder="1" applyAlignment="1">
      <alignment horizontal="center" vertical="center" wrapText="1"/>
    </xf>
    <xf numFmtId="180" fontId="12" fillId="2" borderId="13" xfId="0" applyNumberFormat="1" applyFont="1" applyFill="1" applyBorder="1" applyAlignment="1">
      <alignment horizontal="center" vertical="center" wrapText="1"/>
    </xf>
    <xf numFmtId="168" fontId="7" fillId="2" borderId="13" xfId="0" applyNumberFormat="1" applyFont="1" applyFill="1" applyBorder="1" applyAlignment="1">
      <alignment horizontal="center" vertical="center"/>
    </xf>
    <xf numFmtId="168" fontId="12" fillId="2" borderId="6" xfId="0" applyNumberFormat="1" applyFont="1" applyFill="1" applyBorder="1" applyAlignment="1">
      <alignment horizontal="center" vertical="center"/>
    </xf>
    <xf numFmtId="168" fontId="12" fillId="2" borderId="13" xfId="0" applyNumberFormat="1" applyFont="1" applyFill="1" applyBorder="1" applyAlignment="1">
      <alignment horizontal="center" vertical="center"/>
    </xf>
    <xf numFmtId="1" fontId="1" fillId="2" borderId="1" xfId="11" applyNumberFormat="1" applyFont="1" applyFill="1" applyBorder="1" applyAlignment="1">
      <alignment horizontal="center" vertical="center" wrapText="1"/>
    </xf>
    <xf numFmtId="180" fontId="12" fillId="2" borderId="6" xfId="11" applyNumberFormat="1" applyFont="1" applyFill="1" applyBorder="1" applyAlignment="1">
      <alignment horizontal="center" vertical="center" wrapText="1"/>
    </xf>
    <xf numFmtId="180" fontId="12" fillId="2" borderId="10" xfId="11"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7" fillId="2" borderId="1" xfId="12" applyNumberFormat="1" applyFont="1" applyFill="1" applyBorder="1" applyAlignment="1">
      <alignment horizontal="justify" vertical="center" wrapText="1"/>
    </xf>
    <xf numFmtId="180" fontId="12" fillId="2" borderId="10" xfId="0" applyNumberFormat="1" applyFont="1" applyFill="1" applyBorder="1" applyAlignment="1">
      <alignment horizontal="center" vertical="center" wrapText="1"/>
    </xf>
    <xf numFmtId="195" fontId="1" fillId="2" borderId="13" xfId="10" applyNumberFormat="1" applyFont="1" applyFill="1" applyBorder="1" applyAlignment="1">
      <alignment horizontal="center" vertical="center"/>
    </xf>
    <xf numFmtId="0" fontId="8" fillId="2" borderId="10" xfId="0" applyFont="1" applyFill="1" applyBorder="1" applyAlignment="1">
      <alignment horizontal="justify" vertical="center" wrapText="1"/>
    </xf>
    <xf numFmtId="0" fontId="8" fillId="2" borderId="1" xfId="0" applyFont="1" applyFill="1" applyBorder="1" applyAlignment="1">
      <alignment horizontal="justify" vertical="center" wrapText="1"/>
    </xf>
    <xf numFmtId="183" fontId="1" fillId="2" borderId="6" xfId="10" applyNumberFormat="1" applyFont="1" applyFill="1" applyBorder="1" applyAlignment="1">
      <alignment horizontal="center" vertical="center"/>
    </xf>
    <xf numFmtId="183" fontId="1" fillId="2" borderId="10" xfId="10" applyNumberFormat="1" applyFont="1" applyFill="1" applyBorder="1" applyAlignment="1">
      <alignment horizontal="center" vertical="center"/>
    </xf>
    <xf numFmtId="195" fontId="1" fillId="2" borderId="6" xfId="10" applyNumberFormat="1" applyFont="1" applyFill="1" applyBorder="1" applyAlignment="1">
      <alignment horizontal="center" vertical="center"/>
    </xf>
    <xf numFmtId="195" fontId="1" fillId="2" borderId="6" xfId="10" applyNumberFormat="1" applyFont="1" applyFill="1" applyBorder="1" applyAlignment="1">
      <alignment horizontal="center" vertical="center" wrapText="1"/>
    </xf>
    <xf numFmtId="195" fontId="1" fillId="2" borderId="10" xfId="10" applyNumberFormat="1" applyFont="1" applyFill="1" applyBorder="1" applyAlignment="1">
      <alignment horizontal="center" vertical="center" wrapText="1"/>
    </xf>
    <xf numFmtId="1" fontId="1" fillId="2" borderId="1" xfId="3"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171" fontId="7" fillId="2" borderId="1" xfId="6" applyFont="1" applyFill="1" applyBorder="1" applyAlignment="1">
      <alignment horizontal="justify" vertical="center" wrapText="1"/>
    </xf>
    <xf numFmtId="0" fontId="1" fillId="2" borderId="8"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xf>
    <xf numFmtId="3" fontId="1" fillId="2" borderId="10"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xf>
    <xf numFmtId="0" fontId="1" fillId="2" borderId="13" xfId="0" applyFont="1" applyFill="1" applyBorder="1" applyAlignment="1">
      <alignment horizontal="center" wrapText="1"/>
    </xf>
    <xf numFmtId="0" fontId="1" fillId="2" borderId="10" xfId="0" applyFont="1" applyFill="1" applyBorder="1" applyAlignment="1">
      <alignment horizontal="center" wrapText="1"/>
    </xf>
    <xf numFmtId="0" fontId="12" fillId="2" borderId="13" xfId="0" applyFont="1" applyFill="1" applyBorder="1" applyAlignment="1">
      <alignment horizontal="center" wrapText="1"/>
    </xf>
    <xf numFmtId="0" fontId="12" fillId="2" borderId="10" xfId="0" applyFont="1" applyFill="1" applyBorder="1" applyAlignment="1">
      <alignment horizontal="center" wrapText="1"/>
    </xf>
    <xf numFmtId="3" fontId="3" fillId="2" borderId="6"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3" fontId="13" fillId="2" borderId="6"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 fillId="2" borderId="13"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0" fontId="1" fillId="2" borderId="6" xfId="13" applyNumberFormat="1" applyFont="1" applyFill="1" applyBorder="1" applyAlignment="1">
      <alignment horizontal="center" vertical="center"/>
    </xf>
    <xf numFmtId="0" fontId="1" fillId="2" borderId="13" xfId="13" applyNumberFormat="1" applyFont="1" applyFill="1" applyBorder="1" applyAlignment="1">
      <alignment horizontal="center" vertical="center"/>
    </xf>
    <xf numFmtId="0" fontId="1" fillId="2" borderId="10" xfId="13" applyNumberFormat="1" applyFont="1" applyFill="1" applyBorder="1" applyAlignment="1">
      <alignment horizontal="center" vertical="center"/>
    </xf>
    <xf numFmtId="0" fontId="1" fillId="2" borderId="17" xfId="0" applyFont="1" applyFill="1" applyBorder="1" applyAlignment="1">
      <alignment horizontal="center" vertical="center"/>
    </xf>
    <xf numFmtId="170" fontId="1" fillId="0" borderId="6" xfId="0" applyNumberFormat="1" applyFont="1" applyFill="1" applyBorder="1" applyAlignment="1">
      <alignment horizontal="center" vertical="center"/>
    </xf>
    <xf numFmtId="170" fontId="1" fillId="0" borderId="13" xfId="0" applyNumberFormat="1" applyFont="1" applyFill="1" applyBorder="1" applyAlignment="1">
      <alignment horizontal="center" vertical="center"/>
    </xf>
    <xf numFmtId="170" fontId="1" fillId="0" borderId="17" xfId="0" applyNumberFormat="1" applyFont="1" applyFill="1" applyBorder="1" applyAlignment="1">
      <alignment horizontal="center" vertical="center"/>
    </xf>
    <xf numFmtId="0" fontId="20" fillId="2" borderId="17"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1" fontId="20" fillId="2" borderId="10"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95" fontId="1" fillId="2" borderId="17" xfId="0" applyNumberFormat="1" applyFont="1" applyFill="1" applyBorder="1" applyAlignment="1">
      <alignment horizontal="center" vertical="center" wrapText="1"/>
    </xf>
    <xf numFmtId="0" fontId="1" fillId="2" borderId="17" xfId="0" applyFont="1" applyFill="1" applyBorder="1" applyAlignment="1">
      <alignment horizontal="center"/>
    </xf>
    <xf numFmtId="0" fontId="12" fillId="2" borderId="17" xfId="0" applyFont="1" applyFill="1" applyBorder="1" applyAlignment="1">
      <alignment horizontal="center"/>
    </xf>
    <xf numFmtId="0" fontId="12" fillId="2" borderId="17"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NumberFormat="1" applyFont="1" applyBorder="1" applyAlignment="1">
      <alignment horizontal="left" wrapText="1"/>
    </xf>
    <xf numFmtId="0" fontId="3" fillId="0" borderId="0" xfId="0" applyFont="1" applyBorder="1" applyAlignment="1">
      <alignment horizontal="left" vertical="center"/>
    </xf>
    <xf numFmtId="0" fontId="1" fillId="0" borderId="0" xfId="0" applyFont="1" applyAlignment="1">
      <alignment horizontal="left"/>
    </xf>
    <xf numFmtId="14" fontId="1" fillId="2" borderId="17" xfId="0" applyNumberFormat="1" applyFont="1" applyFill="1" applyBorder="1" applyAlignment="1">
      <alignment horizontal="center" vertical="center"/>
    </xf>
    <xf numFmtId="14" fontId="12" fillId="2" borderId="17" xfId="0" applyNumberFormat="1" applyFont="1" applyFill="1" applyBorder="1" applyAlignment="1">
      <alignment horizontal="center" vertical="center"/>
    </xf>
    <xf numFmtId="0" fontId="1" fillId="2" borderId="66" xfId="0" applyFont="1" applyFill="1" applyBorder="1" applyAlignment="1">
      <alignment horizontal="center" vertical="center" wrapText="1"/>
    </xf>
    <xf numFmtId="0" fontId="28" fillId="2" borderId="6"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wrapText="1"/>
    </xf>
    <xf numFmtId="0" fontId="28" fillId="2" borderId="17" xfId="0" applyFont="1" applyFill="1" applyBorder="1" applyAlignment="1">
      <alignment horizontal="center" vertical="center"/>
    </xf>
    <xf numFmtId="183" fontId="1" fillId="0" borderId="17" xfId="0" applyNumberFormat="1" applyFont="1" applyFill="1" applyBorder="1" applyAlignment="1">
      <alignment horizontal="center" vertical="center"/>
    </xf>
    <xf numFmtId="190" fontId="1" fillId="2" borderId="6" xfId="5" applyNumberFormat="1" applyFont="1" applyFill="1" applyBorder="1" applyAlignment="1">
      <alignment horizontal="center" vertical="center"/>
    </xf>
    <xf numFmtId="190" fontId="1" fillId="2" borderId="13" xfId="5" applyNumberFormat="1" applyFont="1" applyFill="1" applyBorder="1" applyAlignment="1">
      <alignment horizontal="center" vertical="center"/>
    </xf>
    <xf numFmtId="190" fontId="1" fillId="2" borderId="17" xfId="5" applyNumberFormat="1" applyFont="1" applyFill="1" applyBorder="1" applyAlignment="1">
      <alignment horizontal="center" vertical="center"/>
    </xf>
    <xf numFmtId="167" fontId="10"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169" fontId="8" fillId="5" borderId="1" xfId="0" applyNumberFormat="1" applyFont="1" applyFill="1" applyBorder="1" applyAlignment="1">
      <alignment horizontal="center" vertical="center" wrapText="1"/>
    </xf>
    <xf numFmtId="169" fontId="8" fillId="5" borderId="18" xfId="0" applyNumberFormat="1"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69" fontId="12" fillId="5" borderId="13" xfId="0" applyNumberFormat="1" applyFont="1" applyFill="1" applyBorder="1" applyAlignment="1">
      <alignment horizontal="center" vertical="center" wrapText="1"/>
    </xf>
    <xf numFmtId="169" fontId="12" fillId="5" borderId="17" xfId="0" applyNumberFormat="1" applyFont="1" applyFill="1" applyBorder="1" applyAlignment="1">
      <alignment horizontal="center" vertical="center" wrapText="1"/>
    </xf>
    <xf numFmtId="3" fontId="8" fillId="5" borderId="33" xfId="0" applyNumberFormat="1" applyFont="1" applyFill="1" applyBorder="1" applyAlignment="1">
      <alignment horizontal="center" vertical="center" wrapText="1"/>
    </xf>
    <xf numFmtId="3" fontId="8" fillId="5" borderId="34" xfId="0" applyNumberFormat="1" applyFont="1" applyFill="1" applyBorder="1" applyAlignment="1">
      <alignment horizontal="center" vertical="center" wrapText="1"/>
    </xf>
    <xf numFmtId="167" fontId="8" fillId="0" borderId="6" xfId="0" applyNumberFormat="1" applyFont="1" applyFill="1" applyBorder="1" applyAlignment="1">
      <alignment horizontal="justify" vertical="center" wrapText="1"/>
    </xf>
    <xf numFmtId="167" fontId="8" fillId="0" borderId="13" xfId="0" applyNumberFormat="1" applyFont="1" applyFill="1" applyBorder="1" applyAlignment="1">
      <alignment horizontal="justify" vertical="center" wrapText="1"/>
    </xf>
    <xf numFmtId="167" fontId="8" fillId="0" borderId="17" xfId="0" applyNumberFormat="1" applyFont="1" applyFill="1" applyBorder="1" applyAlignment="1">
      <alignment horizontal="justify" vertical="center" wrapText="1"/>
    </xf>
    <xf numFmtId="167" fontId="10" fillId="0" borderId="36" xfId="0" applyNumberFormat="1" applyFont="1" applyFill="1" applyBorder="1" applyAlignment="1">
      <alignment horizontal="center"/>
    </xf>
    <xf numFmtId="167" fontId="10" fillId="0" borderId="47" xfId="0" applyNumberFormat="1" applyFont="1" applyFill="1" applyBorder="1" applyAlignment="1">
      <alignment horizontal="center"/>
    </xf>
    <xf numFmtId="167" fontId="10" fillId="0" borderId="40" xfId="0" applyNumberFormat="1" applyFont="1" applyFill="1" applyBorder="1" applyAlignment="1">
      <alignment horizontal="center"/>
    </xf>
    <xf numFmtId="167" fontId="10" fillId="0" borderId="39" xfId="0" applyNumberFormat="1" applyFont="1" applyFill="1" applyBorder="1" applyAlignment="1">
      <alignment horizontal="center"/>
    </xf>
    <xf numFmtId="167" fontId="10" fillId="0" borderId="41" xfId="0" applyNumberFormat="1" applyFont="1" applyFill="1" applyBorder="1" applyAlignment="1">
      <alignment horizontal="center"/>
    </xf>
    <xf numFmtId="167" fontId="8" fillId="0" borderId="40" xfId="0" applyNumberFormat="1" applyFont="1" applyFill="1" applyBorder="1" applyAlignment="1">
      <alignment horizontal="center"/>
    </xf>
    <xf numFmtId="167" fontId="8" fillId="0" borderId="39" xfId="0" applyNumberFormat="1" applyFont="1" applyFill="1" applyBorder="1" applyAlignment="1">
      <alignment horizontal="center"/>
    </xf>
    <xf numFmtId="167" fontId="8" fillId="0" borderId="41" xfId="0" applyNumberFormat="1" applyFont="1" applyFill="1" applyBorder="1" applyAlignment="1">
      <alignment horizontal="center"/>
    </xf>
    <xf numFmtId="172" fontId="8" fillId="0" borderId="6" xfId="8" applyNumberFormat="1" applyFont="1" applyFill="1" applyBorder="1" applyAlignment="1">
      <alignment horizontal="center" vertical="center" wrapText="1"/>
    </xf>
    <xf numFmtId="172" fontId="8" fillId="0" borderId="13" xfId="8" applyNumberFormat="1" applyFont="1" applyFill="1" applyBorder="1" applyAlignment="1">
      <alignment horizontal="center" vertical="center" wrapText="1"/>
    </xf>
    <xf numFmtId="172" fontId="8" fillId="0" borderId="17" xfId="8"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1" fontId="8" fillId="0" borderId="18" xfId="0" applyNumberFormat="1" applyFont="1" applyFill="1" applyBorder="1" applyAlignment="1">
      <alignment horizontal="center" vertical="center"/>
    </xf>
    <xf numFmtId="1" fontId="12" fillId="0" borderId="17" xfId="0" applyNumberFormat="1" applyFont="1" applyFill="1" applyBorder="1" applyAlignment="1">
      <alignment horizontal="center" vertical="center"/>
    </xf>
    <xf numFmtId="3" fontId="8" fillId="5" borderId="42" xfId="0" applyNumberFormat="1" applyFont="1" applyFill="1" applyBorder="1" applyAlignment="1">
      <alignment horizontal="center" vertical="center" wrapText="1"/>
    </xf>
    <xf numFmtId="3" fontId="8" fillId="5" borderId="28" xfId="0" applyNumberFormat="1" applyFont="1" applyFill="1" applyBorder="1" applyAlignment="1">
      <alignment horizontal="center" vertical="center" wrapText="1"/>
    </xf>
    <xf numFmtId="3" fontId="8" fillId="5" borderId="30" xfId="0" applyNumberFormat="1" applyFont="1" applyFill="1" applyBorder="1" applyAlignment="1">
      <alignment horizontal="center" vertical="center" wrapText="1"/>
    </xf>
    <xf numFmtId="167" fontId="8" fillId="5" borderId="6" xfId="0" applyNumberFormat="1" applyFont="1" applyFill="1" applyBorder="1" applyAlignment="1">
      <alignment horizontal="center" vertical="center" wrapText="1"/>
    </xf>
    <xf numFmtId="167" fontId="8" fillId="5" borderId="13" xfId="0" applyNumberFormat="1" applyFont="1" applyFill="1" applyBorder="1" applyAlignment="1">
      <alignment horizontal="center" vertical="center" wrapText="1"/>
    </xf>
    <xf numFmtId="167" fontId="8" fillId="5" borderId="17" xfId="0" applyNumberFormat="1" applyFont="1" applyFill="1" applyBorder="1" applyAlignment="1">
      <alignment horizontal="center" vertical="center" wrapText="1"/>
    </xf>
    <xf numFmtId="3" fontId="8" fillId="5" borderId="6" xfId="0" applyNumberFormat="1" applyFont="1" applyFill="1" applyBorder="1" applyAlignment="1">
      <alignment horizontal="center" vertical="center" wrapText="1"/>
    </xf>
    <xf numFmtId="3" fontId="8" fillId="5" borderId="13" xfId="0" applyNumberFormat="1" applyFont="1" applyFill="1" applyBorder="1" applyAlignment="1">
      <alignment horizontal="center" vertical="center" wrapText="1"/>
    </xf>
    <xf numFmtId="3" fontId="8" fillId="5" borderId="17" xfId="0" applyNumberFormat="1" applyFont="1" applyFill="1" applyBorder="1" applyAlignment="1">
      <alignment horizontal="center" vertical="center" wrapText="1"/>
    </xf>
    <xf numFmtId="1" fontId="8" fillId="5" borderId="6" xfId="0" applyNumberFormat="1" applyFont="1" applyFill="1" applyBorder="1" applyAlignment="1">
      <alignment horizontal="center" vertical="center" wrapText="1"/>
    </xf>
    <xf numFmtId="1" fontId="8" fillId="5" borderId="13" xfId="0" applyNumberFormat="1" applyFont="1" applyFill="1" applyBorder="1" applyAlignment="1">
      <alignment horizontal="center" vertical="center" wrapText="1"/>
    </xf>
    <xf numFmtId="1" fontId="8" fillId="5" borderId="17" xfId="0" applyNumberFormat="1" applyFont="1" applyFill="1" applyBorder="1" applyAlignment="1">
      <alignment horizontal="center" vertical="center" wrapText="1"/>
    </xf>
    <xf numFmtId="170" fontId="8" fillId="0" borderId="6" xfId="0" applyNumberFormat="1" applyFont="1" applyFill="1" applyBorder="1" applyAlignment="1">
      <alignment horizontal="center" vertical="center" wrapText="1"/>
    </xf>
    <xf numFmtId="170" fontId="8" fillId="0" borderId="13" xfId="0" applyNumberFormat="1" applyFont="1" applyFill="1" applyBorder="1" applyAlignment="1">
      <alignment horizontal="center" vertical="center" wrapText="1"/>
    </xf>
    <xf numFmtId="170" fontId="8" fillId="0" borderId="17" xfId="0" applyNumberFormat="1" applyFont="1" applyFill="1" applyBorder="1" applyAlignment="1">
      <alignment horizontal="center" vertical="center" wrapText="1"/>
    </xf>
    <xf numFmtId="167" fontId="8" fillId="0" borderId="10" xfId="0" applyNumberFormat="1" applyFont="1" applyFill="1" applyBorder="1" applyAlignment="1">
      <alignment horizontal="justify" vertical="center" wrapText="1"/>
    </xf>
    <xf numFmtId="167" fontId="8" fillId="0" borderId="1" xfId="0" applyNumberFormat="1" applyFont="1" applyFill="1" applyBorder="1" applyAlignment="1">
      <alignment horizontal="justify" vertical="center" wrapText="1" readingOrder="2"/>
    </xf>
    <xf numFmtId="3" fontId="8" fillId="0" borderId="1"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69" fontId="8" fillId="5" borderId="6" xfId="0" applyNumberFormat="1" applyFont="1" applyFill="1" applyBorder="1" applyAlignment="1">
      <alignment horizontal="center" vertical="center" wrapText="1"/>
    </xf>
    <xf numFmtId="169" fontId="8" fillId="5" borderId="13" xfId="0" applyNumberFormat="1" applyFont="1" applyFill="1" applyBorder="1" applyAlignment="1">
      <alignment horizontal="center" vertical="center" wrapText="1"/>
    </xf>
    <xf numFmtId="169" fontId="8" fillId="5" borderId="10" xfId="0" applyNumberFormat="1" applyFont="1" applyFill="1" applyBorder="1" applyAlignment="1">
      <alignment horizontal="center" vertical="center" wrapText="1"/>
    </xf>
    <xf numFmtId="169" fontId="12" fillId="5" borderId="10"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43" fontId="1" fillId="0" borderId="6" xfId="13" applyFont="1" applyBorder="1" applyAlignment="1">
      <alignment horizontal="center" vertical="center"/>
    </xf>
    <xf numFmtId="43" fontId="1" fillId="0" borderId="13" xfId="13" applyFont="1" applyBorder="1" applyAlignment="1">
      <alignment horizontal="center" vertical="center"/>
    </xf>
    <xf numFmtId="43" fontId="1" fillId="0" borderId="10" xfId="13" applyFont="1" applyBorder="1" applyAlignment="1">
      <alignment horizontal="center" vertical="center"/>
    </xf>
    <xf numFmtId="9" fontId="8" fillId="0" borderId="6" xfId="5" applyFont="1" applyFill="1" applyBorder="1" applyAlignment="1">
      <alignment horizontal="center" vertical="center" wrapText="1"/>
    </xf>
    <xf numFmtId="9" fontId="8" fillId="0" borderId="13" xfId="5" applyFont="1" applyFill="1" applyBorder="1" applyAlignment="1">
      <alignment horizontal="center" vertical="center" wrapText="1"/>
    </xf>
    <xf numFmtId="9" fontId="8" fillId="0" borderId="10" xfId="5"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67" fontId="8" fillId="0" borderId="6" xfId="0" applyNumberFormat="1" applyFont="1" applyFill="1" applyBorder="1" applyAlignment="1">
      <alignment horizontal="center" vertical="center" wrapText="1"/>
    </xf>
    <xf numFmtId="167" fontId="8" fillId="0" borderId="13"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8" fillId="5" borderId="10"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167" fontId="8" fillId="0" borderId="17" xfId="0" applyNumberFormat="1" applyFont="1" applyFill="1" applyBorder="1" applyAlignment="1">
      <alignment horizontal="center" vertical="center" wrapText="1"/>
    </xf>
    <xf numFmtId="1" fontId="8" fillId="0" borderId="49"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36"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57" xfId="0" applyNumberFormat="1" applyFont="1" applyFill="1" applyBorder="1" applyAlignment="1">
      <alignment horizontal="center" vertical="center" wrapText="1"/>
    </xf>
    <xf numFmtId="1" fontId="8" fillId="0" borderId="37"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31" xfId="0" applyNumberFormat="1" applyFont="1" applyFill="1" applyBorder="1" applyAlignment="1">
      <alignment horizontal="center" vertical="center" wrapText="1"/>
    </xf>
    <xf numFmtId="1" fontId="8" fillId="0" borderId="32" xfId="0" applyNumberFormat="1" applyFont="1" applyFill="1" applyBorder="1" applyAlignment="1">
      <alignment horizontal="center" vertical="center" wrapText="1"/>
    </xf>
    <xf numFmtId="167" fontId="8" fillId="0" borderId="4" xfId="0" applyNumberFormat="1" applyFont="1" applyFill="1" applyBorder="1" applyAlignment="1">
      <alignment horizontal="center" vertical="center" wrapText="1"/>
    </xf>
    <xf numFmtId="167" fontId="8" fillId="0" borderId="5" xfId="0" applyNumberFormat="1" applyFont="1" applyFill="1" applyBorder="1" applyAlignment="1">
      <alignment horizontal="center" vertical="center" wrapText="1"/>
    </xf>
    <xf numFmtId="167" fontId="8" fillId="0" borderId="15" xfId="0" applyNumberFormat="1" applyFont="1" applyFill="1" applyBorder="1" applyAlignment="1">
      <alignment horizontal="center" vertical="center" wrapText="1"/>
    </xf>
    <xf numFmtId="167" fontId="8" fillId="0" borderId="14" xfId="0" applyNumberFormat="1" applyFont="1" applyFill="1" applyBorder="1" applyAlignment="1">
      <alignment horizontal="center" vertical="center" wrapText="1"/>
    </xf>
    <xf numFmtId="167" fontId="8" fillId="0" borderId="31" xfId="0" applyNumberFormat="1" applyFont="1" applyFill="1" applyBorder="1" applyAlignment="1">
      <alignment horizontal="center" vertical="center" wrapText="1"/>
    </xf>
    <xf numFmtId="167" fontId="8" fillId="0" borderId="32" xfId="0" applyNumberFormat="1" applyFont="1" applyFill="1" applyBorder="1" applyAlignment="1">
      <alignment horizontal="center" vertical="center" wrapText="1"/>
    </xf>
    <xf numFmtId="167" fontId="10" fillId="9" borderId="7" xfId="0" applyNumberFormat="1" applyFont="1" applyFill="1" applyBorder="1" applyAlignment="1">
      <alignment horizontal="center" vertical="center" wrapText="1"/>
    </xf>
    <xf numFmtId="167" fontId="10" fillId="9" borderId="3" xfId="0" applyNumberFormat="1" applyFont="1" applyFill="1" applyBorder="1" applyAlignment="1">
      <alignment horizontal="center" vertical="center" wrapText="1"/>
    </xf>
    <xf numFmtId="167" fontId="10" fillId="9" borderId="22" xfId="0" applyNumberFormat="1" applyFont="1" applyFill="1" applyBorder="1" applyAlignment="1">
      <alignment horizontal="center" vertical="center" wrapText="1"/>
    </xf>
    <xf numFmtId="167" fontId="10" fillId="9" borderId="13" xfId="0" applyNumberFormat="1" applyFont="1" applyFill="1" applyBorder="1" applyAlignment="1">
      <alignment horizontal="center" vertical="center" wrapText="1"/>
    </xf>
    <xf numFmtId="167" fontId="10" fillId="9" borderId="10" xfId="0" applyNumberFormat="1" applyFont="1" applyFill="1" applyBorder="1" applyAlignment="1">
      <alignment horizontal="center" vertical="center" wrapText="1"/>
    </xf>
    <xf numFmtId="167" fontId="10" fillId="9" borderId="4" xfId="0" applyNumberFormat="1" applyFont="1" applyFill="1" applyBorder="1" applyAlignment="1">
      <alignment horizontal="center" vertical="center" wrapText="1"/>
    </xf>
    <xf numFmtId="167" fontId="10" fillId="9" borderId="12" xfId="0" applyNumberFormat="1" applyFont="1" applyFill="1" applyBorder="1" applyAlignment="1">
      <alignment horizontal="center" vertical="center" wrapText="1"/>
    </xf>
    <xf numFmtId="167" fontId="10" fillId="9" borderId="5" xfId="0" applyNumberFormat="1" applyFont="1" applyFill="1" applyBorder="1" applyAlignment="1">
      <alignment horizontal="center" vertical="center" wrapText="1"/>
    </xf>
    <xf numFmtId="167" fontId="10" fillId="9" borderId="8" xfId="0" applyNumberFormat="1" applyFont="1" applyFill="1" applyBorder="1" applyAlignment="1">
      <alignment horizontal="center" vertical="center" wrapText="1"/>
    </xf>
    <xf numFmtId="167" fontId="10" fillId="9" borderId="2" xfId="0" applyNumberFormat="1" applyFont="1" applyFill="1" applyBorder="1" applyAlignment="1">
      <alignment horizontal="center" vertical="center" wrapText="1"/>
    </xf>
    <xf numFmtId="167" fontId="10" fillId="9" borderId="9" xfId="0" applyNumberFormat="1" applyFont="1" applyFill="1" applyBorder="1" applyAlignment="1">
      <alignment horizontal="center" vertical="center" wrapText="1"/>
    </xf>
    <xf numFmtId="170" fontId="10" fillId="9" borderId="22" xfId="0" applyNumberFormat="1" applyFont="1" applyFill="1" applyBorder="1" applyAlignment="1">
      <alignment horizontal="center" vertical="center" wrapText="1"/>
    </xf>
    <xf numFmtId="170" fontId="10" fillId="9" borderId="13" xfId="0" applyNumberFormat="1" applyFont="1" applyFill="1" applyBorder="1" applyAlignment="1">
      <alignment horizontal="center" vertical="center" wrapText="1"/>
    </xf>
    <xf numFmtId="170" fontId="10" fillId="9" borderId="10" xfId="0" applyNumberFormat="1" applyFont="1" applyFill="1" applyBorder="1" applyAlignment="1">
      <alignment horizontal="center" vertical="center" wrapText="1"/>
    </xf>
    <xf numFmtId="170" fontId="8" fillId="5" borderId="6" xfId="0" applyNumberFormat="1" applyFont="1" applyFill="1" applyBorder="1" applyAlignment="1">
      <alignment horizontal="center" vertical="center" wrapText="1"/>
    </xf>
    <xf numFmtId="170" fontId="8" fillId="5" borderId="13" xfId="0" applyNumberFormat="1" applyFont="1" applyFill="1" applyBorder="1" applyAlignment="1">
      <alignment horizontal="center" vertical="center" wrapText="1"/>
    </xf>
    <xf numFmtId="170" fontId="8" fillId="5" borderId="10" xfId="0" applyNumberFormat="1" applyFont="1" applyFill="1" applyBorder="1" applyAlignment="1">
      <alignment horizontal="center" vertical="center" wrapText="1"/>
    </xf>
    <xf numFmtId="167" fontId="8" fillId="5" borderId="4" xfId="0" applyNumberFormat="1" applyFont="1" applyFill="1" applyBorder="1" applyAlignment="1">
      <alignment horizontal="justify" vertical="center" wrapText="1"/>
    </xf>
    <xf numFmtId="167" fontId="8" fillId="5" borderId="15" xfId="0" applyNumberFormat="1" applyFont="1" applyFill="1" applyBorder="1" applyAlignment="1">
      <alignment horizontal="justify" vertical="center" wrapText="1"/>
    </xf>
    <xf numFmtId="167" fontId="8" fillId="5" borderId="8" xfId="0" applyNumberFormat="1" applyFont="1" applyFill="1" applyBorder="1" applyAlignment="1">
      <alignment horizontal="justify" vertical="center" wrapText="1"/>
    </xf>
    <xf numFmtId="167" fontId="8" fillId="5" borderId="1" xfId="0" applyNumberFormat="1" applyFont="1" applyFill="1" applyBorder="1" applyAlignment="1">
      <alignment horizontal="justify" vertical="center" wrapText="1"/>
    </xf>
    <xf numFmtId="43" fontId="12" fillId="0" borderId="6" xfId="13" applyFont="1" applyBorder="1" applyAlignment="1">
      <alignment horizontal="center" vertical="center"/>
    </xf>
    <xf numFmtId="43" fontId="12" fillId="0" borderId="13" xfId="13" applyFont="1" applyBorder="1" applyAlignment="1">
      <alignment horizontal="center" vertical="center"/>
    </xf>
    <xf numFmtId="43" fontId="12" fillId="0" borderId="10" xfId="13" applyFont="1" applyBorder="1" applyAlignment="1">
      <alignment horizontal="center" vertical="center"/>
    </xf>
    <xf numFmtId="167" fontId="10" fillId="0" borderId="0"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167" fontId="10" fillId="9" borderId="19" xfId="0" applyNumberFormat="1" applyFont="1" applyFill="1" applyBorder="1" applyAlignment="1">
      <alignment horizontal="center" vertical="center" wrapText="1"/>
    </xf>
    <xf numFmtId="167" fontId="10" fillId="9" borderId="27" xfId="0" applyNumberFormat="1" applyFont="1" applyFill="1" applyBorder="1" applyAlignment="1">
      <alignment horizontal="center" vertical="center" wrapText="1"/>
    </xf>
    <xf numFmtId="167" fontId="10" fillId="9" borderId="29" xfId="0" applyNumberFormat="1" applyFont="1" applyFill="1" applyBorder="1" applyAlignment="1">
      <alignment horizontal="center" vertical="center" wrapText="1"/>
    </xf>
    <xf numFmtId="167" fontId="10" fillId="9" borderId="20" xfId="0" applyNumberFormat="1" applyFont="1" applyFill="1" applyBorder="1" applyAlignment="1">
      <alignment horizontal="center" vertical="center" wrapText="1"/>
    </xf>
    <xf numFmtId="167" fontId="10" fillId="9" borderId="21" xfId="0" applyNumberFormat="1" applyFont="1" applyFill="1" applyBorder="1" applyAlignment="1">
      <alignment horizontal="center" vertical="center" wrapText="1"/>
    </xf>
    <xf numFmtId="167" fontId="10" fillId="9" borderId="15" xfId="0" applyNumberFormat="1" applyFont="1" applyFill="1" applyBorder="1" applyAlignment="1">
      <alignment horizontal="center" vertical="center" wrapText="1"/>
    </xf>
    <xf numFmtId="167" fontId="10" fillId="9" borderId="14" xfId="0" applyNumberFormat="1" applyFont="1" applyFill="1" applyBorder="1" applyAlignment="1">
      <alignment horizontal="center" vertical="center" wrapText="1"/>
    </xf>
    <xf numFmtId="169" fontId="10" fillId="9" borderId="4" xfId="0" applyNumberFormat="1" applyFont="1" applyFill="1" applyBorder="1" applyAlignment="1">
      <alignment horizontal="center" vertical="center" wrapText="1"/>
    </xf>
    <xf numFmtId="169" fontId="10" fillId="9" borderId="5" xfId="0" applyNumberFormat="1" applyFont="1" applyFill="1" applyBorder="1" applyAlignment="1">
      <alignment horizontal="center" vertical="center" wrapText="1"/>
    </xf>
    <xf numFmtId="169" fontId="10" fillId="9" borderId="8" xfId="0" applyNumberFormat="1" applyFont="1" applyFill="1" applyBorder="1" applyAlignment="1">
      <alignment horizontal="center" vertical="center" wrapText="1"/>
    </xf>
    <xf numFmtId="169" fontId="10" fillId="9" borderId="9" xfId="0" applyNumberFormat="1" applyFont="1" applyFill="1" applyBorder="1" applyAlignment="1">
      <alignment horizontal="center" vertical="center" wrapText="1"/>
    </xf>
    <xf numFmtId="49" fontId="10" fillId="9" borderId="7" xfId="0" applyNumberFormat="1"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167" fontId="10" fillId="9" borderId="20" xfId="0" applyNumberFormat="1" applyFont="1" applyFill="1" applyBorder="1" applyAlignment="1">
      <alignment horizontal="center" vertical="center"/>
    </xf>
    <xf numFmtId="167" fontId="10" fillId="9" borderId="35" xfId="0" applyNumberFormat="1" applyFont="1" applyFill="1" applyBorder="1" applyAlignment="1">
      <alignment horizontal="center" vertical="center"/>
    </xf>
    <xf numFmtId="167" fontId="10" fillId="9" borderId="21" xfId="0" applyNumberFormat="1" applyFont="1" applyFill="1" applyBorder="1" applyAlignment="1">
      <alignment horizontal="center" vertical="center"/>
    </xf>
    <xf numFmtId="167" fontId="10" fillId="9" borderId="23" xfId="0" applyNumberFormat="1" applyFont="1" applyFill="1" applyBorder="1" applyAlignment="1">
      <alignment horizontal="center" vertical="center"/>
    </xf>
    <xf numFmtId="167" fontId="10" fillId="9" borderId="24" xfId="0" applyNumberFormat="1" applyFont="1" applyFill="1" applyBorder="1" applyAlignment="1">
      <alignment horizontal="center" vertical="center"/>
    </xf>
    <xf numFmtId="167" fontId="10" fillId="9" borderId="25" xfId="0" applyNumberFormat="1" applyFont="1" applyFill="1" applyBorder="1" applyAlignment="1">
      <alignment horizontal="center" vertical="center"/>
    </xf>
    <xf numFmtId="3" fontId="10" fillId="9" borderId="26" xfId="0" applyNumberFormat="1" applyFont="1" applyFill="1" applyBorder="1" applyAlignment="1">
      <alignment horizontal="center" vertical="center" wrapText="1"/>
    </xf>
    <xf numFmtId="3" fontId="10" fillId="9" borderId="28" xfId="0" applyNumberFormat="1" applyFont="1" applyFill="1" applyBorder="1" applyAlignment="1">
      <alignment horizontal="center" vertical="center" wrapText="1"/>
    </xf>
    <xf numFmtId="3" fontId="10" fillId="9" borderId="30" xfId="0" applyNumberFormat="1"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5" xfId="0" applyFont="1" applyFill="1" applyBorder="1" applyAlignment="1">
      <alignment horizontal="center" vertical="center" wrapText="1"/>
    </xf>
    <xf numFmtId="169" fontId="30" fillId="3" borderId="1" xfId="0" applyNumberFormat="1" applyFont="1" applyFill="1" applyBorder="1" applyAlignment="1">
      <alignment horizontal="center" vertical="center" wrapText="1"/>
    </xf>
    <xf numFmtId="3" fontId="30" fillId="3" borderId="1" xfId="0" applyNumberFormat="1"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3" xfId="0" applyFont="1" applyFill="1" applyBorder="1" applyAlignment="1">
      <alignment horizontal="center" vertical="center" wrapText="1"/>
    </xf>
    <xf numFmtId="49" fontId="30" fillId="3" borderId="7" xfId="0" applyNumberFormat="1" applyFont="1" applyFill="1" applyBorder="1" applyAlignment="1">
      <alignment horizontal="center" vertical="center" wrapText="1"/>
    </xf>
    <xf numFmtId="49" fontId="30" fillId="3" borderId="3" xfId="0" applyNumberFormat="1"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2" xfId="0" applyFont="1" applyFill="1" applyBorder="1" applyAlignment="1">
      <alignment horizontal="center" vertical="center" wrapText="1"/>
    </xf>
    <xf numFmtId="164" fontId="1" fillId="2" borderId="6" xfId="0" applyNumberFormat="1" applyFont="1" applyFill="1" applyBorder="1" applyAlignment="1">
      <alignment horizontal="justify" vertical="center" wrapText="1"/>
    </xf>
    <xf numFmtId="164" fontId="1" fillId="2" borderId="13" xfId="0" applyNumberFormat="1" applyFont="1" applyFill="1" applyBorder="1" applyAlignment="1">
      <alignment horizontal="justify" vertical="center" wrapText="1"/>
    </xf>
    <xf numFmtId="164" fontId="1" fillId="2" borderId="10" xfId="0" applyNumberFormat="1" applyFont="1" applyFill="1" applyBorder="1" applyAlignment="1">
      <alignment horizontal="justify" vertical="center" wrapText="1"/>
    </xf>
    <xf numFmtId="44" fontId="16" fillId="10" borderId="1" xfId="14" applyFont="1" applyFill="1" applyBorder="1" applyAlignment="1">
      <alignment horizontal="center" vertical="center" wrapText="1"/>
    </xf>
    <xf numFmtId="9" fontId="16" fillId="10" borderId="1" xfId="5"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3" xfId="0" applyFont="1" applyFill="1" applyBorder="1" applyAlignment="1">
      <alignment horizontal="center" vertical="center"/>
    </xf>
    <xf numFmtId="167" fontId="30" fillId="3" borderId="23" xfId="9" applyFont="1" applyFill="1" applyBorder="1" applyAlignment="1">
      <alignment horizontal="center" vertical="center"/>
    </xf>
    <xf numFmtId="167" fontId="30" fillId="3" borderId="24" xfId="9" applyFont="1" applyFill="1" applyBorder="1" applyAlignment="1">
      <alignment horizontal="center" vertical="center"/>
    </xf>
    <xf numFmtId="167" fontId="30" fillId="3" borderId="25" xfId="9" applyFont="1" applyFill="1" applyBorder="1" applyAlignment="1">
      <alignment horizontal="center" vertical="center"/>
    </xf>
    <xf numFmtId="1" fontId="3" fillId="8" borderId="11" xfId="0" applyNumberFormat="1" applyFont="1" applyFill="1" applyBorder="1" applyAlignment="1">
      <alignment horizontal="center" vertical="center"/>
    </xf>
    <xf numFmtId="0" fontId="3" fillId="8" borderId="11" xfId="0" applyFont="1" applyFill="1" applyBorder="1" applyAlignment="1">
      <alignment horizontal="center" vertical="center"/>
    </xf>
    <xf numFmtId="3" fontId="1" fillId="2" borderId="1" xfId="0" applyNumberFormat="1" applyFont="1" applyFill="1" applyBorder="1" applyAlignment="1">
      <alignment horizontal="center" vertical="center" wrapText="1"/>
    </xf>
    <xf numFmtId="44" fontId="1" fillId="2" borderId="6" xfId="14" applyFont="1" applyFill="1" applyBorder="1" applyAlignment="1">
      <alignment horizontal="center" vertical="center" wrapText="1"/>
    </xf>
    <xf numFmtId="44" fontId="1" fillId="2" borderId="13" xfId="14" applyFont="1" applyFill="1" applyBorder="1" applyAlignment="1">
      <alignment horizontal="center" vertical="center" wrapText="1"/>
    </xf>
    <xf numFmtId="44" fontId="1" fillId="2" borderId="10" xfId="14" applyFont="1" applyFill="1" applyBorder="1" applyAlignment="1">
      <alignment horizontal="center" vertical="center" wrapText="1"/>
    </xf>
    <xf numFmtId="44" fontId="1" fillId="0" borderId="6" xfId="14" applyFont="1" applyFill="1" applyBorder="1" applyAlignment="1">
      <alignment horizontal="center" vertical="center" wrapText="1"/>
    </xf>
    <xf numFmtId="44" fontId="1" fillId="0" borderId="10" xfId="14" applyFont="1" applyFill="1" applyBorder="1" applyAlignment="1">
      <alignment horizontal="center" vertical="center" wrapText="1"/>
    </xf>
    <xf numFmtId="42" fontId="1" fillId="2" borderId="6" xfId="16" applyFont="1" applyFill="1" applyBorder="1" applyAlignment="1">
      <alignment horizontal="justify" vertical="center" wrapText="1"/>
    </xf>
    <xf numFmtId="42" fontId="1" fillId="2" borderId="10" xfId="16" applyFont="1" applyFill="1" applyBorder="1" applyAlignment="1">
      <alignment horizontal="justify" vertical="center" wrapText="1"/>
    </xf>
    <xf numFmtId="42" fontId="1" fillId="2" borderId="13" xfId="16" applyFont="1" applyFill="1" applyBorder="1" applyAlignment="1">
      <alignment horizontal="justify" vertical="center" wrapText="1"/>
    </xf>
    <xf numFmtId="42" fontId="7" fillId="2" borderId="6" xfId="16" applyFont="1" applyFill="1" applyBorder="1" applyAlignment="1">
      <alignment horizontal="justify" vertical="center" wrapText="1"/>
    </xf>
    <xf numFmtId="42" fontId="7" fillId="2" borderId="13" xfId="16" applyFont="1" applyFill="1" applyBorder="1" applyAlignment="1">
      <alignment horizontal="justify" vertical="center" wrapText="1"/>
    </xf>
    <xf numFmtId="42" fontId="7" fillId="2" borderId="10" xfId="16" applyFont="1" applyFill="1" applyBorder="1" applyAlignment="1">
      <alignment horizontal="justify" vertical="center" wrapText="1"/>
    </xf>
    <xf numFmtId="44" fontId="1" fillId="0" borderId="13" xfId="14"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4" fontId="7" fillId="2" borderId="6" xfId="14" applyFont="1" applyFill="1" applyBorder="1" applyAlignment="1">
      <alignment horizontal="center" vertical="center" wrapText="1"/>
    </xf>
    <xf numFmtId="44" fontId="7" fillId="2" borderId="13" xfId="14" applyFont="1" applyFill="1" applyBorder="1" applyAlignment="1">
      <alignment horizontal="center" vertical="center" wrapText="1"/>
    </xf>
    <xf numFmtId="44" fontId="7" fillId="2" borderId="10" xfId="14" applyFont="1" applyFill="1" applyBorder="1" applyAlignment="1">
      <alignment horizontal="center" vertical="center" wrapText="1"/>
    </xf>
    <xf numFmtId="0" fontId="7" fillId="2" borderId="13" xfId="5" applyNumberFormat="1" applyFont="1" applyFill="1" applyBorder="1" applyAlignment="1">
      <alignment horizontal="center" vertical="center" wrapText="1"/>
    </xf>
    <xf numFmtId="0" fontId="7" fillId="2" borderId="10" xfId="5" applyNumberFormat="1" applyFont="1" applyFill="1" applyBorder="1" applyAlignment="1">
      <alignment horizontal="center" vertical="center" wrapText="1"/>
    </xf>
    <xf numFmtId="0" fontId="1" fillId="2" borderId="10" xfId="5" applyNumberFormat="1" applyFont="1" applyFill="1" applyBorder="1" applyAlignment="1">
      <alignment horizontal="center" vertical="center" wrapText="1"/>
    </xf>
    <xf numFmtId="42" fontId="1" fillId="0" borderId="6" xfId="16" applyFont="1" applyFill="1" applyBorder="1" applyAlignment="1">
      <alignment horizontal="justify" vertical="center" wrapText="1"/>
    </xf>
    <xf numFmtId="42" fontId="1" fillId="0" borderId="13" xfId="16" applyFont="1" applyFill="1" applyBorder="1" applyAlignment="1">
      <alignment horizontal="justify" vertical="center" wrapText="1"/>
    </xf>
    <xf numFmtId="42" fontId="1" fillId="0" borderId="10" xfId="16" applyFont="1" applyFill="1" applyBorder="1" applyAlignment="1">
      <alignment horizontal="justify" vertical="center" wrapText="1"/>
    </xf>
    <xf numFmtId="0" fontId="1" fillId="2" borderId="13" xfId="5" applyNumberFormat="1" applyFont="1" applyFill="1" applyBorder="1" applyAlignment="1">
      <alignment horizontal="center" vertical="center" wrapText="1"/>
    </xf>
    <xf numFmtId="3" fontId="1" fillId="2" borderId="1" xfId="0" applyNumberFormat="1" applyFont="1" applyFill="1" applyBorder="1" applyAlignment="1">
      <alignment horizontal="justify" vertical="center" wrapText="1"/>
    </xf>
    <xf numFmtId="1" fontId="1" fillId="0" borderId="10"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42" fontId="1" fillId="0" borderId="1" xfId="16" applyNumberFormat="1" applyFont="1" applyFill="1" applyBorder="1" applyAlignment="1">
      <alignment horizontal="justify" vertical="center" wrapText="1"/>
    </xf>
    <xf numFmtId="169" fontId="12" fillId="2" borderId="4" xfId="0" applyNumberFormat="1" applyFont="1" applyFill="1" applyBorder="1" applyAlignment="1">
      <alignment horizontal="center" vertical="center" wrapText="1"/>
    </xf>
    <xf numFmtId="169" fontId="12" fillId="2" borderId="15" xfId="0" applyNumberFormat="1" applyFont="1" applyFill="1" applyBorder="1" applyAlignment="1">
      <alignment horizontal="center" vertical="center" wrapText="1"/>
    </xf>
    <xf numFmtId="169" fontId="12" fillId="2" borderId="8" xfId="0" applyNumberFormat="1" applyFont="1" applyFill="1" applyBorder="1" applyAlignment="1">
      <alignment horizontal="center" vertical="center" wrapText="1"/>
    </xf>
    <xf numFmtId="1" fontId="1" fillId="0" borderId="6" xfId="0" quotePrefix="1" applyNumberFormat="1" applyFont="1" applyFill="1" applyBorder="1" applyAlignment="1">
      <alignment horizontal="center" vertical="center" wrapText="1"/>
    </xf>
    <xf numFmtId="1" fontId="1" fillId="0" borderId="13" xfId="0" quotePrefix="1" applyNumberFormat="1" applyFont="1" applyFill="1" applyBorder="1" applyAlignment="1">
      <alignment horizontal="center" vertical="center" wrapText="1"/>
    </xf>
    <xf numFmtId="1" fontId="1" fillId="0" borderId="10" xfId="0" quotePrefix="1" applyNumberFormat="1" applyFont="1" applyFill="1" applyBorder="1" applyAlignment="1">
      <alignment horizontal="center" vertical="center" wrapText="1"/>
    </xf>
    <xf numFmtId="42" fontId="1" fillId="2" borderId="6" xfId="16" applyFont="1" applyFill="1" applyBorder="1" applyAlignment="1">
      <alignment horizontal="center" vertical="center"/>
    </xf>
    <xf numFmtId="42" fontId="1" fillId="2" borderId="10" xfId="16" applyFont="1" applyFill="1" applyBorder="1" applyAlignment="1">
      <alignment horizontal="center" vertical="center"/>
    </xf>
    <xf numFmtId="169" fontId="1" fillId="2" borderId="1" xfId="0" applyNumberFormat="1" applyFont="1" applyFill="1" applyBorder="1" applyAlignment="1">
      <alignment horizontal="center" vertical="center" wrapText="1"/>
    </xf>
    <xf numFmtId="169" fontId="12" fillId="2" borderId="1" xfId="0" applyNumberFormat="1" applyFont="1" applyFill="1" applyBorder="1" applyAlignment="1">
      <alignment horizontal="center" vertical="center" wrapText="1"/>
    </xf>
    <xf numFmtId="169" fontId="12" fillId="2" borderId="7" xfId="0" applyNumberFormat="1" applyFont="1" applyFill="1" applyBorder="1" applyAlignment="1">
      <alignment horizontal="center" vertical="center" wrapText="1"/>
    </xf>
    <xf numFmtId="1" fontId="1" fillId="2" borderId="6" xfId="0" quotePrefix="1" applyNumberFormat="1" applyFont="1" applyFill="1" applyBorder="1" applyAlignment="1">
      <alignment horizontal="center" vertical="center" wrapText="1"/>
    </xf>
    <xf numFmtId="0" fontId="1" fillId="0" borderId="0" xfId="0" applyFont="1" applyFill="1" applyBorder="1" applyAlignment="1">
      <alignment horizontal="center"/>
    </xf>
    <xf numFmtId="168" fontId="1" fillId="0" borderId="0" xfId="1" applyNumberFormat="1" applyFont="1" applyFill="1" applyBorder="1" applyAlignment="1">
      <alignment horizontal="center" vertical="center"/>
    </xf>
    <xf numFmtId="42" fontId="1" fillId="0" borderId="1" xfId="16" applyFont="1" applyFill="1" applyBorder="1" applyAlignment="1">
      <alignment horizontal="center" vertical="center"/>
    </xf>
    <xf numFmtId="42" fontId="12" fillId="0" borderId="1" xfId="16" applyFont="1" applyFill="1" applyBorder="1" applyAlignment="1">
      <alignment horizontal="center" vertical="center"/>
    </xf>
    <xf numFmtId="42" fontId="12" fillId="0" borderId="6" xfId="16" applyFont="1" applyFill="1" applyBorder="1" applyAlignment="1">
      <alignment horizontal="center" vertical="center" wrapText="1"/>
    </xf>
    <xf numFmtId="42" fontId="12" fillId="0" borderId="10" xfId="16"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0" xfId="0" applyFont="1" applyFill="1" applyBorder="1" applyAlignment="1">
      <alignment horizontal="left" vertical="center" wrapText="1"/>
    </xf>
    <xf numFmtId="1" fontId="12" fillId="2" borderId="1" xfId="0" applyNumberFormat="1" applyFont="1" applyFill="1" applyBorder="1" applyAlignment="1">
      <alignment horizontal="center" vertical="center" wrapText="1"/>
    </xf>
    <xf numFmtId="0" fontId="3" fillId="0" borderId="0" xfId="0" applyFont="1" applyFill="1" applyBorder="1" applyAlignment="1">
      <alignment horizontal="center"/>
    </xf>
    <xf numFmtId="0" fontId="13"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164" fontId="12" fillId="0" borderId="6" xfId="17" applyFont="1" applyFill="1" applyBorder="1" applyAlignment="1">
      <alignment horizontal="center" vertical="center"/>
    </xf>
    <xf numFmtId="164" fontId="12" fillId="0" borderId="13" xfId="17" applyFont="1" applyFill="1" applyBorder="1" applyAlignment="1">
      <alignment horizontal="center" vertical="center"/>
    </xf>
    <xf numFmtId="164" fontId="12" fillId="0" borderId="10" xfId="17"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justify"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6" fillId="10" borderId="6" xfId="0" applyFont="1" applyFill="1" applyBorder="1" applyAlignment="1">
      <alignment horizontal="center" vertical="center"/>
    </xf>
    <xf numFmtId="0" fontId="36" fillId="10" borderId="10" xfId="0" applyFont="1" applyFill="1" applyBorder="1" applyAlignment="1">
      <alignment horizontal="center" vertical="center"/>
    </xf>
    <xf numFmtId="0" fontId="36" fillId="10" borderId="6" xfId="0" applyFont="1" applyFill="1" applyBorder="1" applyAlignment="1">
      <alignment horizontal="center" vertical="center" wrapText="1"/>
    </xf>
    <xf numFmtId="0" fontId="36" fillId="10" borderId="10" xfId="0" applyFont="1" applyFill="1" applyBorder="1" applyAlignment="1">
      <alignment horizontal="center" vertical="center" wrapText="1"/>
    </xf>
    <xf numFmtId="164" fontId="1" fillId="0" borderId="6" xfId="17" applyFont="1" applyFill="1" applyBorder="1" applyAlignment="1">
      <alignment horizontal="center" vertical="center" wrapText="1"/>
    </xf>
    <xf numFmtId="164" fontId="1" fillId="0" borderId="13" xfId="17" applyFont="1" applyFill="1" applyBorder="1" applyAlignment="1">
      <alignment horizontal="center" vertical="center" wrapText="1"/>
    </xf>
    <xf numFmtId="164" fontId="7" fillId="0" borderId="6" xfId="17" applyFont="1" applyFill="1" applyBorder="1" applyAlignment="1">
      <alignment horizontal="right" vertical="center" wrapText="1"/>
    </xf>
    <xf numFmtId="164" fontId="7" fillId="0" borderId="13" xfId="17" applyFont="1" applyFill="1" applyBorder="1" applyAlignment="1">
      <alignment horizontal="right" vertical="center" wrapText="1"/>
    </xf>
    <xf numFmtId="164" fontId="7" fillId="0" borderId="10" xfId="17" applyFont="1" applyFill="1" applyBorder="1" applyAlignment="1">
      <alignment horizontal="right" vertical="center" wrapText="1"/>
    </xf>
    <xf numFmtId="164" fontId="7" fillId="0" borderId="1" xfId="17" applyFont="1" applyFill="1" applyBorder="1" applyAlignment="1">
      <alignment horizontal="right" vertical="center" wrapText="1"/>
    </xf>
    <xf numFmtId="9" fontId="36" fillId="10" borderId="6" xfId="0" applyNumberFormat="1" applyFont="1" applyFill="1" applyBorder="1" applyAlignment="1">
      <alignment horizontal="center" vertical="center" wrapText="1"/>
    </xf>
    <xf numFmtId="9" fontId="36" fillId="10" borderId="10" xfId="0" applyNumberFormat="1" applyFont="1" applyFill="1" applyBorder="1" applyAlignment="1">
      <alignment horizontal="center" vertical="center" wrapText="1"/>
    </xf>
    <xf numFmtId="0" fontId="36" fillId="10" borderId="7" xfId="0" applyNumberFormat="1" applyFont="1" applyFill="1" applyBorder="1" applyAlignment="1">
      <alignment horizontal="center" vertical="center" wrapText="1"/>
    </xf>
    <xf numFmtId="0" fontId="36" fillId="10" borderId="3" xfId="0" applyNumberFormat="1"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12" fillId="0" borderId="6" xfId="0" applyFont="1" applyFill="1" applyBorder="1" applyAlignment="1">
      <alignment horizontal="center" wrapText="1"/>
    </xf>
    <xf numFmtId="0" fontId="12" fillId="0" borderId="13" xfId="0" applyFont="1" applyFill="1" applyBorder="1" applyAlignment="1">
      <alignment horizontal="center" wrapText="1"/>
    </xf>
    <xf numFmtId="0" fontId="12" fillId="0" borderId="10" xfId="0" applyFont="1" applyFill="1" applyBorder="1" applyAlignment="1">
      <alignment horizontal="center" wrapText="1"/>
    </xf>
    <xf numFmtId="0" fontId="1" fillId="0" borderId="1" xfId="0" applyFont="1" applyFill="1" applyBorder="1" applyAlignment="1">
      <alignment horizontal="center" wrapText="1"/>
    </xf>
    <xf numFmtId="0" fontId="8" fillId="0" borderId="4" xfId="0" applyFont="1" applyFill="1" applyBorder="1" applyAlignment="1">
      <alignment horizontal="justify" vertical="center" wrapText="1" readingOrder="2"/>
    </xf>
    <xf numFmtId="0" fontId="8" fillId="0" borderId="15" xfId="0" applyFont="1" applyFill="1" applyBorder="1" applyAlignment="1">
      <alignment horizontal="justify" vertical="center" wrapText="1" readingOrder="2"/>
    </xf>
    <xf numFmtId="0" fontId="8" fillId="0" borderId="12" xfId="0" applyFont="1" applyFill="1" applyBorder="1" applyAlignment="1">
      <alignment horizontal="justify" vertical="center" wrapText="1" readingOrder="1"/>
    </xf>
    <xf numFmtId="0" fontId="8" fillId="0" borderId="0" xfId="0" applyFont="1" applyFill="1" applyBorder="1" applyAlignment="1">
      <alignment horizontal="justify" vertical="center" wrapText="1" readingOrder="1"/>
    </xf>
    <xf numFmtId="164" fontId="1" fillId="0" borderId="1" xfId="17" applyFont="1" applyFill="1" applyBorder="1" applyAlignment="1">
      <alignment horizontal="center" vertical="center" wrapText="1"/>
    </xf>
    <xf numFmtId="0" fontId="1" fillId="0" borderId="1" xfId="0" applyFont="1" applyFill="1" applyBorder="1" applyAlignment="1">
      <alignment horizontal="justify" vertical="center" wrapText="1" readingOrder="2"/>
    </xf>
    <xf numFmtId="0" fontId="8" fillId="0" borderId="1" xfId="0" applyFont="1" applyFill="1" applyBorder="1" applyAlignment="1">
      <alignment horizontal="justify" vertical="center" wrapText="1" readingOrder="1"/>
    </xf>
    <xf numFmtId="0" fontId="1" fillId="0" borderId="1" xfId="0" applyFont="1" applyFill="1" applyBorder="1" applyAlignment="1">
      <alignment wrapText="1"/>
    </xf>
    <xf numFmtId="3" fontId="1" fillId="0" borderId="1" xfId="0" applyNumberFormat="1" applyFont="1" applyFill="1" applyBorder="1" applyAlignment="1">
      <alignment horizontal="justify" vertical="center" wrapText="1"/>
    </xf>
    <xf numFmtId="164" fontId="1" fillId="0" borderId="1" xfId="17" applyFont="1" applyFill="1" applyBorder="1" applyAlignment="1">
      <alignment horizontal="right" vertical="center" wrapText="1"/>
    </xf>
    <xf numFmtId="0" fontId="8" fillId="0" borderId="6" xfId="0" applyFont="1" applyFill="1" applyBorder="1" applyAlignment="1">
      <alignment horizontal="justify" vertical="center" wrapText="1" readingOrder="2"/>
    </xf>
    <xf numFmtId="0" fontId="8" fillId="0" borderId="10" xfId="0" applyFont="1" applyFill="1" applyBorder="1" applyAlignment="1">
      <alignment horizontal="justify" vertical="center" wrapText="1" readingOrder="2"/>
    </xf>
    <xf numFmtId="15"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81" fontId="1" fillId="0" borderId="1" xfId="0" applyNumberFormat="1" applyFont="1" applyFill="1" applyBorder="1" applyAlignment="1">
      <alignment horizontal="center" vertical="center" wrapText="1"/>
    </xf>
    <xf numFmtId="181" fontId="12" fillId="0" borderId="6" xfId="0" applyNumberFormat="1" applyFont="1" applyFill="1" applyBorder="1" applyAlignment="1">
      <alignment horizontal="center" vertical="center" wrapText="1"/>
    </xf>
    <xf numFmtId="181" fontId="12" fillId="0" borderId="13" xfId="0" applyNumberFormat="1" applyFont="1" applyFill="1" applyBorder="1" applyAlignment="1">
      <alignment horizontal="center" vertical="center" wrapText="1"/>
    </xf>
    <xf numFmtId="181" fontId="12" fillId="0" borderId="10" xfId="0" applyNumberFormat="1" applyFont="1" applyFill="1" applyBorder="1" applyAlignment="1">
      <alignment horizontal="center" vertical="center" wrapText="1"/>
    </xf>
    <xf numFmtId="181" fontId="1" fillId="0" borderId="6" xfId="0" applyNumberFormat="1" applyFont="1" applyFill="1" applyBorder="1" applyAlignment="1">
      <alignment horizontal="center" vertical="center" wrapText="1"/>
    </xf>
    <xf numFmtId="181" fontId="1" fillId="0" borderId="13" xfId="0" applyNumberFormat="1" applyFont="1" applyFill="1" applyBorder="1" applyAlignment="1">
      <alignment horizontal="center" vertical="center" wrapText="1"/>
    </xf>
    <xf numFmtId="181" fontId="1" fillId="0" borderId="10"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readingOrder="2"/>
    </xf>
    <xf numFmtId="0" fontId="1" fillId="0" borderId="1" xfId="0" applyFont="1" applyFill="1" applyBorder="1" applyAlignment="1">
      <alignment horizontal="justify" wrapText="1"/>
    </xf>
    <xf numFmtId="0" fontId="1" fillId="0" borderId="1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3" fontId="1" fillId="0" borderId="1" xfId="0" applyNumberFormat="1" applyFont="1" applyFill="1" applyBorder="1" applyAlignment="1">
      <alignment horizontal="center" wrapText="1"/>
    </xf>
    <xf numFmtId="0" fontId="13" fillId="0" borderId="13"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1" fillId="0" borderId="4" xfId="17" applyFont="1" applyFill="1" applyBorder="1" applyAlignment="1">
      <alignment horizontal="center" vertical="center"/>
    </xf>
    <xf numFmtId="164" fontId="1" fillId="0" borderId="15" xfId="17" applyFont="1" applyFill="1" applyBorder="1" applyAlignment="1">
      <alignment horizontal="center" vertical="center"/>
    </xf>
    <xf numFmtId="164" fontId="1" fillId="0" borderId="8" xfId="17" applyFont="1" applyFill="1" applyBorder="1" applyAlignment="1">
      <alignment horizontal="center" vertical="center"/>
    </xf>
    <xf numFmtId="164" fontId="1" fillId="0" borderId="6" xfId="17" applyFont="1" applyFill="1" applyBorder="1" applyAlignment="1">
      <alignment horizontal="right" vertical="center" wrapText="1"/>
    </xf>
    <xf numFmtId="164" fontId="1" fillId="0" borderId="10" xfId="17" applyFont="1" applyFill="1" applyBorder="1" applyAlignment="1">
      <alignment horizontal="right" vertical="center" wrapText="1"/>
    </xf>
    <xf numFmtId="0" fontId="3" fillId="0" borderId="1" xfId="0" applyFont="1" applyFill="1" applyBorder="1" applyAlignment="1">
      <alignment horizontal="center" vertical="center" wrapText="1"/>
    </xf>
    <xf numFmtId="181" fontId="36" fillId="10" borderId="7" xfId="0" applyNumberFormat="1" applyFont="1" applyFill="1" applyBorder="1" applyAlignment="1">
      <alignment horizontal="center" vertical="center" wrapText="1"/>
    </xf>
    <xf numFmtId="181" fontId="36" fillId="10" borderId="3" xfId="0" applyNumberFormat="1" applyFont="1" applyFill="1" applyBorder="1" applyAlignment="1">
      <alignment horizontal="center" vertical="center" wrapText="1"/>
    </xf>
    <xf numFmtId="9" fontId="16" fillId="10" borderId="10" xfId="3" applyFont="1" applyFill="1" applyBorder="1" applyAlignment="1">
      <alignment horizontal="center" vertical="center" wrapText="1"/>
    </xf>
    <xf numFmtId="0" fontId="16" fillId="10" borderId="6" xfId="0" applyFont="1" applyFill="1" applyBorder="1" applyAlignment="1">
      <alignment horizontal="justify" vertical="center" wrapText="1"/>
    </xf>
    <xf numFmtId="0" fontId="16" fillId="10" borderId="10" xfId="0" applyFont="1" applyFill="1" applyBorder="1" applyAlignment="1">
      <alignment horizontal="justify" vertical="center" wrapText="1"/>
    </xf>
    <xf numFmtId="0" fontId="36" fillId="10" borderId="7" xfId="0" applyFont="1" applyFill="1" applyBorder="1" applyAlignment="1">
      <alignment horizontal="center" vertical="center"/>
    </xf>
    <xf numFmtId="0" fontId="36" fillId="10" borderId="3" xfId="0" applyFont="1" applyFill="1" applyBorder="1" applyAlignment="1">
      <alignment horizontal="center" vertical="center"/>
    </xf>
    <xf numFmtId="0" fontId="36" fillId="10" borderId="7" xfId="0" applyFont="1" applyFill="1" applyBorder="1" applyAlignment="1">
      <alignment horizontal="center" vertical="center" textRotation="1"/>
    </xf>
    <xf numFmtId="0" fontId="36" fillId="10" borderId="3" xfId="0" applyFont="1" applyFill="1" applyBorder="1" applyAlignment="1">
      <alignment horizontal="center" vertical="center" textRotation="1"/>
    </xf>
    <xf numFmtId="0" fontId="1" fillId="0" borderId="12" xfId="0" applyFont="1" applyFill="1" applyBorder="1" applyAlignment="1">
      <alignment horizontal="center"/>
    </xf>
    <xf numFmtId="0" fontId="1" fillId="0" borderId="5" xfId="0" applyFont="1" applyFill="1" applyBorder="1" applyAlignment="1">
      <alignment horizontal="center"/>
    </xf>
    <xf numFmtId="0" fontId="1" fillId="0" borderId="14" xfId="0" applyFont="1" applyFill="1" applyBorder="1" applyAlignment="1">
      <alignment horizontal="center"/>
    </xf>
    <xf numFmtId="3" fontId="16" fillId="10" borderId="6" xfId="0" applyNumberFormat="1" applyFont="1" applyFill="1" applyBorder="1" applyAlignment="1">
      <alignment horizontal="center" vertical="center" wrapText="1"/>
    </xf>
    <xf numFmtId="3" fontId="16" fillId="10" borderId="10" xfId="0" applyNumberFormat="1" applyFont="1" applyFill="1" applyBorder="1" applyAlignment="1">
      <alignment horizontal="center" vertical="center" wrapText="1"/>
    </xf>
    <xf numFmtId="0" fontId="36" fillId="10" borderId="7" xfId="0" applyFont="1" applyFill="1" applyBorder="1" applyAlignment="1">
      <alignment horizontal="center" vertical="center" wrapText="1"/>
    </xf>
    <xf numFmtId="0" fontId="36" fillId="10" borderId="3" xfId="0" applyFont="1" applyFill="1" applyBorder="1" applyAlignment="1">
      <alignment horizontal="center" vertical="center" wrapText="1"/>
    </xf>
    <xf numFmtId="3" fontId="36" fillId="10" borderId="6" xfId="0" applyNumberFormat="1" applyFont="1" applyFill="1" applyBorder="1" applyAlignment="1">
      <alignment horizontal="center" vertical="center" wrapText="1"/>
    </xf>
    <xf numFmtId="3" fontId="36" fillId="10" borderId="10" xfId="0" applyNumberFormat="1" applyFont="1" applyFill="1" applyBorder="1" applyAlignment="1">
      <alignment horizontal="center" vertical="center" wrapText="1"/>
    </xf>
    <xf numFmtId="3" fontId="36" fillId="10" borderId="7" xfId="0" applyNumberFormat="1" applyFont="1" applyFill="1" applyBorder="1" applyAlignment="1">
      <alignment horizontal="center" vertical="center" wrapText="1"/>
    </xf>
    <xf numFmtId="3" fontId="36" fillId="10" borderId="11" xfId="0" applyNumberFormat="1" applyFont="1" applyFill="1" applyBorder="1" applyAlignment="1">
      <alignment horizontal="center" vertical="center" wrapText="1"/>
    </xf>
    <xf numFmtId="3" fontId="36" fillId="10" borderId="3" xfId="0" applyNumberFormat="1" applyFont="1" applyFill="1" applyBorder="1" applyAlignment="1">
      <alignment horizontal="center" vertical="center" wrapText="1"/>
    </xf>
    <xf numFmtId="49" fontId="36" fillId="10" borderId="7" xfId="0" applyNumberFormat="1" applyFont="1" applyFill="1" applyBorder="1" applyAlignment="1">
      <alignment horizontal="center" vertical="center"/>
    </xf>
    <xf numFmtId="49" fontId="36" fillId="10" borderId="3" xfId="0" applyNumberFormat="1" applyFont="1" applyFill="1" applyBorder="1" applyAlignment="1">
      <alignment horizontal="center" vertical="center"/>
    </xf>
    <xf numFmtId="164" fontId="7" fillId="0" borderId="1" xfId="17" applyFont="1" applyFill="1" applyBorder="1" applyAlignment="1">
      <alignment horizontal="center" vertical="center"/>
    </xf>
    <xf numFmtId="164" fontId="1" fillId="0" borderId="10" xfId="17" applyFont="1" applyFill="1" applyBorder="1" applyAlignment="1">
      <alignment horizontal="center" vertical="center" wrapText="1"/>
    </xf>
    <xf numFmtId="164" fontId="1" fillId="0" borderId="6" xfId="17" applyFont="1" applyFill="1" applyBorder="1" applyAlignment="1">
      <alignment horizontal="justify" vertical="center" wrapText="1"/>
    </xf>
    <xf numFmtId="164" fontId="1" fillId="0" borderId="10" xfId="17" applyFont="1" applyFill="1" applyBorder="1" applyAlignment="1">
      <alignment horizontal="justify" vertical="center" wrapText="1"/>
    </xf>
    <xf numFmtId="0" fontId="1" fillId="0" borderId="1" xfId="0" applyNumberFormat="1" applyFont="1" applyFill="1" applyBorder="1" applyAlignment="1">
      <alignment horizontal="center" vertical="center"/>
    </xf>
    <xf numFmtId="9" fontId="1" fillId="0" borderId="1" xfId="5" applyFont="1" applyFill="1" applyBorder="1" applyAlignment="1">
      <alignment horizontal="center" vertical="center"/>
    </xf>
    <xf numFmtId="0" fontId="3" fillId="6" borderId="4"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15" borderId="4" xfId="0" applyFont="1" applyFill="1" applyBorder="1" applyAlignment="1">
      <alignment horizontal="left" vertical="center" wrapText="1"/>
    </xf>
    <xf numFmtId="0" fontId="3" fillId="15" borderId="12" xfId="0" applyFont="1" applyFill="1" applyBorder="1" applyAlignment="1">
      <alignment horizontal="left" vertical="center" wrapText="1"/>
    </xf>
    <xf numFmtId="0" fontId="3" fillId="15" borderId="11"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2"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3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0" borderId="40" xfId="0" applyFont="1" applyFill="1" applyBorder="1" applyAlignment="1">
      <alignment horizontal="center"/>
    </xf>
    <xf numFmtId="0" fontId="3" fillId="0" borderId="39" xfId="0" applyFont="1" applyFill="1" applyBorder="1" applyAlignment="1">
      <alignment horizontal="center"/>
    </xf>
    <xf numFmtId="0" fontId="3" fillId="0" borderId="41" xfId="0" applyFont="1" applyFill="1" applyBorder="1" applyAlignment="1">
      <alignment horizontal="center"/>
    </xf>
    <xf numFmtId="3" fontId="1" fillId="0" borderId="14"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92" fontId="1" fillId="0" borderId="1" xfId="0" applyNumberFormat="1" applyFont="1" applyFill="1" applyBorder="1" applyAlignment="1">
      <alignment horizontal="center" vertical="center"/>
    </xf>
    <xf numFmtId="164" fontId="1" fillId="0" borderId="10" xfId="17" applyFont="1" applyFill="1" applyBorder="1" applyAlignment="1">
      <alignment horizontal="center" vertical="center"/>
    </xf>
    <xf numFmtId="192" fontId="1" fillId="0" borderId="6" xfId="0" applyNumberFormat="1" applyFont="1" applyFill="1" applyBorder="1" applyAlignment="1">
      <alignment horizontal="center" vertical="center"/>
    </xf>
    <xf numFmtId="192" fontId="1" fillId="0" borderId="10" xfId="0" applyNumberFormat="1" applyFont="1" applyFill="1" applyBorder="1" applyAlignment="1">
      <alignment horizontal="center" vertical="center"/>
    </xf>
    <xf numFmtId="191" fontId="1" fillId="0" borderId="12" xfId="0" applyNumberFormat="1" applyFont="1" applyFill="1" applyBorder="1" applyAlignment="1">
      <alignment horizontal="center" vertical="center" wrapText="1"/>
    </xf>
    <xf numFmtId="191" fontId="1" fillId="0" borderId="0" xfId="0" applyNumberFormat="1" applyFont="1" applyFill="1" applyBorder="1" applyAlignment="1">
      <alignment horizontal="center" vertical="center" wrapText="1"/>
    </xf>
    <xf numFmtId="191" fontId="1" fillId="0" borderId="2" xfId="0" applyNumberFormat="1" applyFont="1" applyFill="1" applyBorder="1" applyAlignment="1">
      <alignment horizontal="center" vertical="center" wrapText="1"/>
    </xf>
    <xf numFmtId="0" fontId="1" fillId="0" borderId="40" xfId="0" applyFont="1" applyBorder="1" applyAlignment="1">
      <alignment horizontal="center"/>
    </xf>
    <xf numFmtId="0" fontId="1" fillId="0" borderId="39" xfId="0" applyFont="1" applyBorder="1" applyAlignment="1">
      <alignment horizontal="center"/>
    </xf>
    <xf numFmtId="0" fontId="1" fillId="0" borderId="37" xfId="0" applyFont="1" applyBorder="1" applyAlignment="1">
      <alignment horizontal="center"/>
    </xf>
    <xf numFmtId="0" fontId="1" fillId="0" borderId="41" xfId="0" applyFont="1" applyBorder="1" applyAlignment="1">
      <alignment horizontal="center"/>
    </xf>
    <xf numFmtId="3" fontId="1" fillId="2" borderId="17" xfId="0" applyNumberFormat="1" applyFont="1" applyFill="1" applyBorder="1" applyAlignment="1">
      <alignment horizontal="center" vertical="center" wrapText="1"/>
    </xf>
    <xf numFmtId="185" fontId="1" fillId="2" borderId="6" xfId="0" applyNumberFormat="1" applyFont="1" applyFill="1" applyBorder="1" applyAlignment="1">
      <alignment horizontal="center" vertical="center" wrapText="1"/>
    </xf>
    <xf numFmtId="185" fontId="1" fillId="2" borderId="10" xfId="0" applyNumberFormat="1" applyFont="1" applyFill="1" applyBorder="1" applyAlignment="1">
      <alignment horizontal="center" vertical="center" wrapText="1"/>
    </xf>
    <xf numFmtId="0" fontId="3" fillId="2" borderId="17" xfId="0" applyFont="1" applyFill="1" applyBorder="1" applyAlignment="1">
      <alignment horizontal="center" vertical="center" textRotation="180" wrapText="1"/>
    </xf>
    <xf numFmtId="49" fontId="1" fillId="2" borderId="6"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0" fontId="1" fillId="2" borderId="17" xfId="0" applyNumberFormat="1" applyFont="1" applyFill="1" applyBorder="1" applyAlignment="1">
      <alignment horizontal="center" vertical="center" wrapText="1"/>
    </xf>
    <xf numFmtId="2" fontId="1" fillId="2" borderId="6" xfId="0" applyNumberFormat="1" applyFont="1" applyFill="1" applyBorder="1" applyAlignment="1">
      <alignment horizontal="justify" vertical="center" wrapText="1"/>
    </xf>
    <xf numFmtId="2" fontId="1" fillId="2" borderId="10" xfId="0" applyNumberFormat="1" applyFont="1" applyFill="1" applyBorder="1" applyAlignment="1">
      <alignment horizontal="justify" vertical="center" wrapText="1"/>
    </xf>
    <xf numFmtId="0" fontId="3" fillId="6" borderId="7" xfId="0" applyFont="1" applyFill="1" applyBorder="1" applyAlignment="1">
      <alignment horizontal="left" vertical="center"/>
    </xf>
    <xf numFmtId="0" fontId="3" fillId="6" borderId="11" xfId="0" applyFont="1" applyFill="1" applyBorder="1" applyAlignment="1">
      <alignment horizontal="left" vertical="center"/>
    </xf>
    <xf numFmtId="0" fontId="3" fillId="6" borderId="3"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15" borderId="7" xfId="0" applyFont="1" applyFill="1" applyBorder="1" applyAlignment="1">
      <alignment horizontal="left" vertical="center"/>
    </xf>
    <xf numFmtId="0" fontId="3" fillId="15" borderId="11" xfId="0" applyFont="1" applyFill="1" applyBorder="1" applyAlignment="1">
      <alignment horizontal="left" vertical="center"/>
    </xf>
    <xf numFmtId="0" fontId="3" fillId="15" borderId="3" xfId="0" applyFont="1" applyFill="1" applyBorder="1" applyAlignment="1">
      <alignment horizontal="left" vertical="center"/>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6" fillId="10" borderId="13" xfId="0" applyFont="1" applyFill="1" applyBorder="1" applyAlignment="1">
      <alignment horizontal="center" vertical="center" wrapText="1"/>
    </xf>
    <xf numFmtId="3" fontId="16" fillId="10" borderId="13" xfId="0" applyNumberFormat="1" applyFont="1" applyFill="1" applyBorder="1" applyAlignment="1">
      <alignment horizontal="center" vertical="center" wrapText="1"/>
    </xf>
    <xf numFmtId="9" fontId="16" fillId="10" borderId="13" xfId="3" applyFont="1" applyFill="1" applyBorder="1" applyAlignment="1">
      <alignment horizontal="center" vertical="center" wrapText="1"/>
    </xf>
    <xf numFmtId="0" fontId="24" fillId="0" borderId="0" xfId="0" applyFont="1" applyBorder="1" applyAlignment="1">
      <alignment horizontal="center" vertical="center"/>
    </xf>
    <xf numFmtId="0" fontId="24" fillId="0" borderId="2" xfId="0" applyFont="1" applyBorder="1" applyAlignment="1">
      <alignment horizontal="center" vertical="center"/>
    </xf>
    <xf numFmtId="185" fontId="3" fillId="3" borderId="6" xfId="0" applyNumberFormat="1" applyFont="1" applyFill="1" applyBorder="1" applyAlignment="1">
      <alignment horizontal="center" vertical="center" wrapText="1"/>
    </xf>
    <xf numFmtId="185" fontId="3" fillId="3" borderId="13" xfId="0" applyNumberFormat="1" applyFont="1" applyFill="1" applyBorder="1" applyAlignment="1">
      <alignment horizontal="center" vertical="center" wrapText="1"/>
    </xf>
    <xf numFmtId="185" fontId="3" fillId="3" borderId="10" xfId="0" applyNumberFormat="1" applyFont="1" applyFill="1" applyBorder="1" applyAlignment="1">
      <alignment horizontal="center" vertical="center" wrapText="1"/>
    </xf>
    <xf numFmtId="172" fontId="1" fillId="0" borderId="1" xfId="8" applyNumberFormat="1" applyFont="1" applyFill="1" applyBorder="1" applyAlignment="1">
      <alignment horizontal="center" vertical="center" wrapText="1"/>
    </xf>
    <xf numFmtId="170" fontId="7" fillId="2" borderId="1" xfId="0" applyNumberFormat="1" applyFont="1" applyFill="1" applyBorder="1" applyAlignment="1">
      <alignment horizontal="right" vertical="center" wrapText="1"/>
    </xf>
    <xf numFmtId="170" fontId="7" fillId="2" borderId="10" xfId="0" applyNumberFormat="1" applyFont="1" applyFill="1" applyBorder="1" applyAlignment="1">
      <alignment horizontal="right" vertical="center" wrapText="1"/>
    </xf>
    <xf numFmtId="170" fontId="12" fillId="2" borderId="10" xfId="0" applyNumberFormat="1" applyFont="1" applyFill="1" applyBorder="1" applyAlignment="1">
      <alignment horizontal="right" vertical="center" wrapText="1"/>
    </xf>
    <xf numFmtId="170" fontId="7" fillId="2" borderId="13" xfId="0" applyNumberFormat="1" applyFont="1" applyFill="1" applyBorder="1" applyAlignment="1">
      <alignment horizontal="right" vertical="center" wrapText="1"/>
    </xf>
    <xf numFmtId="170" fontId="12" fillId="2" borderId="13" xfId="0" applyNumberFormat="1" applyFont="1" applyFill="1" applyBorder="1" applyAlignment="1">
      <alignment horizontal="right" vertical="center" wrapText="1"/>
    </xf>
    <xf numFmtId="0" fontId="3" fillId="7" borderId="11" xfId="0" applyFont="1" applyFill="1" applyBorder="1" applyAlignment="1">
      <alignment horizontal="right" vertical="center"/>
    </xf>
    <xf numFmtId="170" fontId="1" fillId="2" borderId="1" xfId="0" applyNumberFormat="1" applyFont="1" applyFill="1" applyBorder="1" applyAlignment="1">
      <alignment horizontal="right" vertical="center"/>
    </xf>
    <xf numFmtId="3" fontId="1" fillId="2" borderId="1" xfId="0" applyNumberFormat="1" applyFont="1" applyFill="1" applyBorder="1" applyAlignment="1">
      <alignment horizontal="right" vertical="center" wrapText="1"/>
    </xf>
    <xf numFmtId="3" fontId="12" fillId="2" borderId="10" xfId="0" applyNumberFormat="1" applyFont="1" applyFill="1" applyBorder="1" applyAlignment="1">
      <alignment horizontal="right" vertical="center" wrapText="1"/>
    </xf>
    <xf numFmtId="3" fontId="12" fillId="2" borderId="1" xfId="0" applyNumberFormat="1" applyFont="1" applyFill="1" applyBorder="1" applyAlignment="1">
      <alignment horizontal="right" vertical="center" wrapText="1"/>
    </xf>
    <xf numFmtId="170" fontId="3" fillId="2" borderId="48" xfId="0" applyNumberFormat="1" applyFont="1" applyFill="1" applyBorder="1" applyAlignment="1">
      <alignment horizontal="right" vertical="center"/>
    </xf>
    <xf numFmtId="170" fontId="13" fillId="2" borderId="48" xfId="0" applyNumberFormat="1" applyFont="1" applyFill="1" applyBorder="1" applyAlignment="1">
      <alignment horizontal="right" vertical="center"/>
    </xf>
    <xf numFmtId="9" fontId="26" fillId="0" borderId="8" xfId="5" applyFont="1" applyFill="1" applyBorder="1" applyAlignment="1">
      <alignment horizontal="justify" vertical="center" wrapText="1"/>
    </xf>
    <xf numFmtId="9" fontId="27" fillId="0" borderId="8" xfId="5" applyFont="1" applyFill="1" applyBorder="1" applyAlignment="1">
      <alignment horizontal="justify" vertical="center" wrapText="1"/>
    </xf>
    <xf numFmtId="4" fontId="26" fillId="0" borderId="8" xfId="5" applyNumberFormat="1" applyFont="1" applyFill="1" applyBorder="1" applyAlignment="1">
      <alignment horizontal="justify" vertical="center" wrapText="1"/>
    </xf>
    <xf numFmtId="4" fontId="27" fillId="0" borderId="8" xfId="5" applyNumberFormat="1" applyFont="1" applyFill="1" applyBorder="1" applyAlignment="1">
      <alignment horizontal="justify" vertical="center" wrapText="1"/>
    </xf>
    <xf numFmtId="167" fontId="3" fillId="3" borderId="22" xfId="18" applyFont="1" applyFill="1" applyBorder="1" applyAlignment="1">
      <alignment horizontal="justify" vertical="center" wrapText="1"/>
    </xf>
    <xf numFmtId="167" fontId="3" fillId="3" borderId="13" xfId="18" applyFont="1" applyFill="1" applyBorder="1" applyAlignment="1">
      <alignment horizontal="justify" vertical="center" wrapText="1"/>
    </xf>
    <xf numFmtId="167" fontId="3" fillId="3" borderId="10" xfId="18" applyFont="1" applyFill="1" applyBorder="1" applyAlignment="1">
      <alignment horizontal="justify" vertical="center" wrapText="1"/>
    </xf>
    <xf numFmtId="167" fontId="3" fillId="6" borderId="12" xfId="18" applyFont="1" applyFill="1" applyBorder="1" applyAlignment="1">
      <alignment horizontal="justify" vertical="center"/>
    </xf>
    <xf numFmtId="167" fontId="3" fillId="11" borderId="0" xfId="18" applyFont="1" applyFill="1" applyBorder="1" applyAlignment="1">
      <alignment horizontal="justify" vertical="center"/>
    </xf>
    <xf numFmtId="167" fontId="3" fillId="7" borderId="2" xfId="18" applyFont="1" applyFill="1" applyBorder="1" applyAlignment="1">
      <alignment horizontal="justify" vertical="center"/>
    </xf>
    <xf numFmtId="167" fontId="1" fillId="2" borderId="8" xfId="18" applyFont="1" applyFill="1" applyBorder="1" applyAlignment="1">
      <alignment horizontal="justify" vertical="center" wrapText="1"/>
    </xf>
    <xf numFmtId="1" fontId="3" fillId="7" borderId="11" xfId="18" applyNumberFormat="1" applyFont="1" applyFill="1" applyBorder="1" applyAlignment="1">
      <alignment horizontal="justify" vertical="center"/>
    </xf>
    <xf numFmtId="167" fontId="1" fillId="0" borderId="1" xfId="18" applyFont="1" applyBorder="1" applyAlignment="1">
      <alignment horizontal="justify" vertical="center" wrapText="1"/>
    </xf>
    <xf numFmtId="167" fontId="1" fillId="0" borderId="10" xfId="18" applyFont="1" applyBorder="1" applyAlignment="1">
      <alignment horizontal="justify" vertical="center" wrapText="1"/>
    </xf>
    <xf numFmtId="1" fontId="3" fillId="11" borderId="1" xfId="18" applyNumberFormat="1" applyFont="1" applyFill="1" applyBorder="1" applyAlignment="1">
      <alignment horizontal="justify" vertical="center"/>
    </xf>
    <xf numFmtId="167" fontId="1" fillId="0" borderId="6" xfId="18" applyFont="1" applyBorder="1" applyAlignment="1">
      <alignment horizontal="justify" vertical="center" wrapText="1"/>
    </xf>
    <xf numFmtId="167" fontId="1" fillId="0" borderId="13" xfId="18" applyFont="1" applyBorder="1" applyAlignment="1">
      <alignment horizontal="justify" vertical="center" wrapText="1"/>
    </xf>
    <xf numFmtId="167" fontId="1" fillId="0" borderId="10" xfId="18" applyFont="1" applyBorder="1" applyAlignment="1">
      <alignment horizontal="justify" vertical="center" wrapText="1"/>
    </xf>
    <xf numFmtId="167" fontId="3" fillId="11" borderId="11" xfId="18" applyFont="1" applyFill="1" applyBorder="1" applyAlignment="1">
      <alignment horizontal="justify" vertical="center"/>
    </xf>
    <xf numFmtId="167" fontId="3" fillId="7" borderId="11" xfId="18" applyFont="1" applyFill="1" applyBorder="1" applyAlignment="1">
      <alignment horizontal="justify" vertical="center"/>
    </xf>
    <xf numFmtId="167" fontId="1" fillId="0" borderId="6" xfId="18" applyFont="1" applyFill="1" applyBorder="1" applyAlignment="1">
      <alignment horizontal="justify" vertical="center" wrapText="1"/>
    </xf>
    <xf numFmtId="167" fontId="1" fillId="0" borderId="10" xfId="18" applyFont="1" applyFill="1" applyBorder="1" applyAlignment="1">
      <alignment horizontal="justify" vertical="center" wrapText="1"/>
    </xf>
    <xf numFmtId="167" fontId="1" fillId="0" borderId="17" xfId="18" applyFont="1" applyBorder="1" applyAlignment="1">
      <alignment horizontal="justify" vertical="center" wrapText="1"/>
    </xf>
    <xf numFmtId="167" fontId="1" fillId="0" borderId="22" xfId="18" applyFont="1" applyBorder="1" applyAlignment="1">
      <alignment horizontal="justify" vertical="center" wrapText="1"/>
    </xf>
    <xf numFmtId="167" fontId="1" fillId="0" borderId="13" xfId="18" applyFont="1" applyFill="1" applyBorder="1" applyAlignment="1">
      <alignment horizontal="justify" vertical="center" wrapText="1"/>
    </xf>
    <xf numFmtId="0" fontId="1" fillId="0" borderId="6" xfId="18" applyNumberFormat="1" applyFont="1" applyFill="1" applyBorder="1" applyAlignment="1">
      <alignment horizontal="justify" vertical="center" wrapText="1"/>
    </xf>
    <xf numFmtId="0" fontId="1" fillId="0" borderId="13" xfId="18" applyNumberFormat="1" applyFont="1" applyFill="1" applyBorder="1" applyAlignment="1">
      <alignment horizontal="justify" vertical="center" wrapText="1"/>
    </xf>
    <xf numFmtId="0" fontId="1" fillId="0" borderId="10" xfId="18" applyNumberFormat="1" applyFont="1" applyFill="1" applyBorder="1" applyAlignment="1">
      <alignment horizontal="justify" vertical="center" wrapText="1"/>
    </xf>
    <xf numFmtId="167" fontId="3" fillId="7" borderId="11" xfId="18" applyFont="1" applyFill="1" applyBorder="1" applyAlignment="1">
      <alignment horizontal="justify" vertical="center" wrapText="1"/>
    </xf>
    <xf numFmtId="167" fontId="1" fillId="0" borderId="6" xfId="18" applyFont="1" applyBorder="1" applyAlignment="1">
      <alignment horizontal="justify" vertical="center" wrapText="1"/>
    </xf>
    <xf numFmtId="1" fontId="3" fillId="6" borderId="11" xfId="18" applyNumberFormat="1" applyFont="1" applyFill="1" applyBorder="1" applyAlignment="1">
      <alignment horizontal="justify" vertical="center"/>
    </xf>
    <xf numFmtId="167" fontId="3" fillId="11" borderId="2" xfId="18" applyFont="1" applyFill="1" applyBorder="1" applyAlignment="1">
      <alignment horizontal="justify" vertical="center"/>
    </xf>
    <xf numFmtId="167" fontId="1" fillId="2" borderId="12" xfId="18" applyFont="1" applyFill="1" applyBorder="1" applyAlignment="1">
      <alignment horizontal="justify" vertical="center"/>
    </xf>
    <xf numFmtId="0" fontId="3" fillId="3" borderId="1" xfId="0" applyFont="1" applyFill="1" applyBorder="1" applyAlignment="1">
      <alignment horizontal="justify" vertical="center" wrapText="1"/>
    </xf>
    <xf numFmtId="167" fontId="3" fillId="3" borderId="22" xfId="9" applyFont="1" applyFill="1" applyBorder="1" applyAlignment="1" applyProtection="1">
      <alignment horizontal="justify" vertical="center" wrapText="1"/>
      <protection locked="0"/>
    </xf>
    <xf numFmtId="167" fontId="3" fillId="3" borderId="13" xfId="9" applyFont="1" applyFill="1" applyBorder="1" applyAlignment="1" applyProtection="1">
      <alignment horizontal="justify" vertical="center" wrapText="1"/>
      <protection locked="0"/>
    </xf>
    <xf numFmtId="167" fontId="3" fillId="3" borderId="10" xfId="9" applyFont="1" applyFill="1" applyBorder="1" applyAlignment="1" applyProtection="1">
      <alignment horizontal="justify" vertical="center" wrapText="1"/>
      <protection locked="0"/>
    </xf>
    <xf numFmtId="167" fontId="1" fillId="6" borderId="12" xfId="9" applyFont="1" applyFill="1" applyBorder="1" applyAlignment="1" applyProtection="1">
      <alignment horizontal="justify" vertical="center"/>
      <protection locked="0"/>
    </xf>
    <xf numFmtId="167" fontId="1" fillId="6" borderId="2" xfId="9" applyFont="1" applyFill="1" applyBorder="1" applyAlignment="1" applyProtection="1">
      <alignment horizontal="justify" vertical="center"/>
      <protection locked="0"/>
    </xf>
    <xf numFmtId="167" fontId="3" fillId="15" borderId="0" xfId="9" applyFont="1" applyFill="1" applyBorder="1" applyAlignment="1" applyProtection="1">
      <alignment horizontal="justify" vertical="center"/>
      <protection locked="0"/>
    </xf>
    <xf numFmtId="167" fontId="3" fillId="7" borderId="12" xfId="9" applyFont="1" applyFill="1" applyBorder="1" applyAlignment="1" applyProtection="1">
      <alignment horizontal="justify" vertical="center"/>
      <protection locked="0"/>
    </xf>
    <xf numFmtId="167" fontId="3" fillId="7" borderId="12" xfId="9" applyFont="1" applyFill="1" applyBorder="1" applyAlignment="1" applyProtection="1">
      <alignment horizontal="justify" vertical="center" wrapText="1"/>
      <protection locked="0"/>
    </xf>
    <xf numFmtId="167" fontId="3" fillId="7" borderId="2" xfId="9" applyFont="1" applyFill="1" applyBorder="1" applyAlignment="1" applyProtection="1">
      <alignment horizontal="justify" vertical="center" wrapText="1"/>
      <protection locked="0"/>
    </xf>
    <xf numFmtId="0" fontId="1" fillId="0" borderId="6"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167" fontId="3" fillId="7" borderId="2" xfId="9" applyFont="1" applyFill="1" applyBorder="1" applyAlignment="1" applyProtection="1">
      <alignment horizontal="justify" vertical="center"/>
      <protection locked="0"/>
    </xf>
    <xf numFmtId="167" fontId="3" fillId="15" borderId="12" xfId="9" applyFont="1" applyFill="1" applyBorder="1" applyAlignment="1" applyProtection="1">
      <alignment horizontal="justify" vertical="center"/>
      <protection locked="0"/>
    </xf>
    <xf numFmtId="167" fontId="3" fillId="15" borderId="2" xfId="9" applyFont="1" applyFill="1" applyBorder="1" applyAlignment="1" applyProtection="1">
      <alignment horizontal="justify" vertical="center"/>
      <protection locked="0"/>
    </xf>
    <xf numFmtId="167" fontId="3" fillId="8" borderId="11" xfId="9" applyFont="1" applyFill="1" applyBorder="1" applyAlignment="1" applyProtection="1">
      <alignment horizontal="justify" vertical="center"/>
      <protection locked="0"/>
    </xf>
    <xf numFmtId="0" fontId="3" fillId="8" borderId="6" xfId="0" applyFont="1" applyFill="1" applyBorder="1" applyAlignment="1">
      <alignment horizontal="justify" vertical="center"/>
    </xf>
  </cellXfs>
  <cellStyles count="22">
    <cellStyle name="Excel Built-in Normal" xfId="6"/>
    <cellStyle name="Millares" xfId="8" builtinId="3"/>
    <cellStyle name="Millares [0]" xfId="15" builtinId="6"/>
    <cellStyle name="Millares [0] 2" xfId="4"/>
    <cellStyle name="Millares 2" xfId="1"/>
    <cellStyle name="Millares 3" xfId="13"/>
    <cellStyle name="Millares 4" xfId="7"/>
    <cellStyle name="Millares 4 2" xfId="20"/>
    <cellStyle name="Moneda" xfId="14" builtinId="4"/>
    <cellStyle name="Moneda [0]" xfId="17" builtinId="7"/>
    <cellStyle name="Moneda [0] 2" xfId="16"/>
    <cellStyle name="Moneda 2" xfId="2"/>
    <cellStyle name="Moneda 3" xfId="10"/>
    <cellStyle name="Normal" xfId="0" builtinId="0"/>
    <cellStyle name="Normal 2" xfId="9"/>
    <cellStyle name="Normal 2 2" xfId="12"/>
    <cellStyle name="Normal 2 2 2" xfId="18"/>
    <cellStyle name="Normal 2 3" xfId="21"/>
    <cellStyle name="Normal 3" xfId="19"/>
    <cellStyle name="Porcentaje" xfId="5" builtinId="5"/>
    <cellStyle name="Porcentaje 2" xfId="3"/>
    <cellStyle name="Porcentual 2" xfId="11"/>
  </cellStyles>
  <dxfs count="0"/>
  <tableStyles count="0" defaultTableStyle="TableStyleMedium2" defaultPivotStyle="PivotStyleLight16"/>
  <colors>
    <mruColors>
      <color rgb="FF9966FF"/>
      <color rgb="FFD9B9D1"/>
      <color rgb="FFCC66FF"/>
      <color rgb="FFDBDBDB"/>
      <color rgb="FFE2E2E2"/>
      <color rgb="FF1671F6"/>
      <color rgb="FF97B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22860</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697774"/>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438150</xdr:colOff>
      <xdr:row>0</xdr:row>
      <xdr:rowOff>163285</xdr:rowOff>
    </xdr:from>
    <xdr:to>
      <xdr:col>1</xdr:col>
      <xdr:colOff>625929</xdr:colOff>
      <xdr:row>5</xdr:row>
      <xdr:rowOff>90260</xdr:rowOff>
    </xdr:to>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63285"/>
          <a:ext cx="1249136" cy="12060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703984</xdr:colOff>
      <xdr:row>0</xdr:row>
      <xdr:rowOff>17319</xdr:rowOff>
    </xdr:from>
    <xdr:to>
      <xdr:col>1</xdr:col>
      <xdr:colOff>346364</xdr:colOff>
      <xdr:row>4</xdr:row>
      <xdr:rowOff>40486</xdr:rowOff>
    </xdr:to>
    <xdr:pic>
      <xdr:nvPicPr>
        <xdr:cNvPr id="2" name="Imagen 4" descr="C:\Users\AUXPLANEACION03\Desktop\Gobernacion_del_quindio.jp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984" y="17319"/>
          <a:ext cx="547255" cy="78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711285</xdr:colOff>
      <xdr:row>0</xdr:row>
      <xdr:rowOff>0</xdr:rowOff>
    </xdr:from>
    <xdr:to>
      <xdr:col>2</xdr:col>
      <xdr:colOff>301626</xdr:colOff>
      <xdr:row>4</xdr:row>
      <xdr:rowOff>0</xdr:rowOff>
    </xdr:to>
    <xdr:pic>
      <xdr:nvPicPr>
        <xdr:cNvPr id="2" name="Imagen 4" descr="C:\Users\AUXPLANEACION03\Desktop\Gobernacion_del_quindio.jp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285" y="0"/>
          <a:ext cx="749216" cy="10795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548111</xdr:colOff>
      <xdr:row>0</xdr:row>
      <xdr:rowOff>93379</xdr:rowOff>
    </xdr:from>
    <xdr:ext cx="850873" cy="1052598"/>
    <xdr:pic>
      <xdr:nvPicPr>
        <xdr:cNvPr id="2" name="Imagen 1" descr="C:\Users\AUXPLANEACION03\Desktop\Gobernacion_del_quindio.jpg">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111" y="93379"/>
          <a:ext cx="850873" cy="1052598"/>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247650</xdr:colOff>
      <xdr:row>0</xdr:row>
      <xdr:rowOff>76200</xdr:rowOff>
    </xdr:from>
    <xdr:to>
      <xdr:col>2</xdr:col>
      <xdr:colOff>1076325</xdr:colOff>
      <xdr:row>4</xdr:row>
      <xdr:rowOff>82550</xdr:rowOff>
    </xdr:to>
    <xdr:pic>
      <xdr:nvPicPr>
        <xdr:cNvPr id="2" name="Imagen 1" descr="C:\Users\AUXPLANEACION03\Desktop\Gobernacion_del_quindio.jpg">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76200"/>
          <a:ext cx="8286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3</xdr:col>
      <xdr:colOff>209550</xdr:colOff>
      <xdr:row>5</xdr:row>
      <xdr:rowOff>133350</xdr:rowOff>
    </xdr:to>
    <xdr:pic>
      <xdr:nvPicPr>
        <xdr:cNvPr id="2" name="Imagen 1" descr="C:\Users\AUXPLANEACION03\Desktop\Gobernacion_del_quindio.jpg">
          <a:extLst>
            <a:ext uri="{FF2B5EF4-FFF2-40B4-BE49-F238E27FC236}">
              <a16:creationId xmlns=""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911950" cy="1155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340179</xdr:colOff>
      <xdr:row>5</xdr:row>
      <xdr:rowOff>2474</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713015" cy="104502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312087</xdr:colOff>
      <xdr:row>0</xdr:row>
      <xdr:rowOff>95250</xdr:rowOff>
    </xdr:from>
    <xdr:to>
      <xdr:col>3</xdr:col>
      <xdr:colOff>285749</xdr:colOff>
      <xdr:row>5</xdr:row>
      <xdr:rowOff>22513</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6037" y="95250"/>
          <a:ext cx="954738" cy="952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389162</xdr:colOff>
      <xdr:row>0</xdr:row>
      <xdr:rowOff>85972</xdr:rowOff>
    </xdr:from>
    <xdr:ext cx="1068957" cy="1180853"/>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162" y="85972"/>
          <a:ext cx="1068957" cy="11808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27214</xdr:colOff>
      <xdr:row>0</xdr:row>
      <xdr:rowOff>0</xdr:rowOff>
    </xdr:from>
    <xdr:ext cx="837519" cy="955341"/>
    <xdr:pic>
      <xdr:nvPicPr>
        <xdr:cNvPr id="2" name="Imagen 1" descr="C:\Users\AUXPLANEACION03\Desktop\Gobernacion_del_quindio.jpg">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414" y="0"/>
          <a:ext cx="837519" cy="955341"/>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217712</xdr:colOff>
      <xdr:row>0</xdr:row>
      <xdr:rowOff>95250</xdr:rowOff>
    </xdr:from>
    <xdr:to>
      <xdr:col>2</xdr:col>
      <xdr:colOff>888999</xdr:colOff>
      <xdr:row>5</xdr:row>
      <xdr:rowOff>109104</xdr:rowOff>
    </xdr:to>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487" y="95250"/>
          <a:ext cx="937987" cy="1276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129567</xdr:colOff>
      <xdr:row>0</xdr:row>
      <xdr:rowOff>92345</xdr:rowOff>
    </xdr:from>
    <xdr:to>
      <xdr:col>2</xdr:col>
      <xdr:colOff>706957</xdr:colOff>
      <xdr:row>4</xdr:row>
      <xdr:rowOff>117240</xdr:rowOff>
    </xdr:to>
    <xdr:pic>
      <xdr:nvPicPr>
        <xdr:cNvPr id="2" name="Imagen 1" descr="C:\Users\AUXPLANEACION03\Desktop\Gobernacion_del_quindio.jpg">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92" y="0"/>
          <a:ext cx="844090" cy="86235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107859</xdr:colOff>
      <xdr:row>0</xdr:row>
      <xdr:rowOff>0</xdr:rowOff>
    </xdr:from>
    <xdr:to>
      <xdr:col>4</xdr:col>
      <xdr:colOff>334</xdr:colOff>
      <xdr:row>4</xdr:row>
      <xdr:rowOff>149514</xdr:rowOff>
    </xdr:to>
    <xdr:pic>
      <xdr:nvPicPr>
        <xdr:cNvPr id="2" name="Imagen 1" descr="C:\Users\AUXPLANEACION03\Desktop\Gobernacion_del_quindio.jpg">
          <a:extLst>
            <a:ext uri="{FF2B5EF4-FFF2-40B4-BE49-F238E27FC236}">
              <a16:creationId xmlns=""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959" y="0"/>
          <a:ext cx="1140250" cy="11176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3401</xdr:colOff>
      <xdr:row>0</xdr:row>
      <xdr:rowOff>85044</xdr:rowOff>
    </xdr:from>
    <xdr:to>
      <xdr:col>2</xdr:col>
      <xdr:colOff>578983</xdr:colOff>
      <xdr:row>4</xdr:row>
      <xdr:rowOff>19050</xdr:rowOff>
    </xdr:to>
    <xdr:pic>
      <xdr:nvPicPr>
        <xdr:cNvPr id="2" name="Imagen 1" descr="C:\Users\AUXPLANEACION03\Desktop\Gobernacion_del_quindio.jpg">
          <a:extLst>
            <a:ext uri="{FF2B5EF4-FFF2-40B4-BE49-F238E27FC236}">
              <a16:creationId xmlns=""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551" y="85044"/>
          <a:ext cx="842282" cy="10008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J50"/>
  <sheetViews>
    <sheetView zoomScale="55" zoomScaleNormal="55" workbookViewId="0">
      <pane ySplit="15" topLeftCell="A31" activePane="bottomLeft" state="frozen"/>
      <selection pane="bottomLeft" activeCell="A5" sqref="A5:M6"/>
    </sheetView>
  </sheetViews>
  <sheetFormatPr baseColWidth="10" defaultColWidth="11.42578125" defaultRowHeight="14.25" x14ac:dyDescent="0.2"/>
  <cols>
    <col min="1" max="1" width="11" style="4" customWidth="1"/>
    <col min="2" max="2" width="11.42578125" style="4"/>
    <col min="3" max="3" width="6.5703125" style="4" customWidth="1"/>
    <col min="4" max="4" width="11.5703125" style="4" bestFit="1" customWidth="1"/>
    <col min="5" max="5" width="17.140625" style="4" customWidth="1"/>
    <col min="6" max="6" width="11.42578125" style="4" hidden="1" customWidth="1"/>
    <col min="7" max="7" width="10.5703125" style="4" customWidth="1"/>
    <col min="8" max="8" width="18.7109375" style="4" customWidth="1"/>
    <col min="9" max="9" width="1.28515625" style="4" customWidth="1"/>
    <col min="10" max="10" width="14.42578125" style="4" customWidth="1"/>
    <col min="11" max="11" width="19" style="4" customWidth="1"/>
    <col min="12" max="12" width="14.85546875" style="4" customWidth="1"/>
    <col min="13" max="13" width="12.5703125" style="4" customWidth="1"/>
    <col min="14" max="14" width="12.5703125" style="123" customWidth="1"/>
    <col min="15" max="15" width="21.42578125" style="4" customWidth="1"/>
    <col min="16" max="16" width="11.7109375" style="4" customWidth="1"/>
    <col min="17" max="17" width="21.5703125" style="4" customWidth="1"/>
    <col min="18" max="18" width="11.5703125" style="4" bestFit="1" customWidth="1"/>
    <col min="19" max="19" width="18.7109375" style="4" customWidth="1"/>
    <col min="20" max="20" width="26.85546875" style="4" customWidth="1"/>
    <col min="21" max="21" width="27.42578125" style="4" customWidth="1"/>
    <col min="22" max="22" width="25" style="4" customWidth="1"/>
    <col min="23" max="23" width="24.42578125" style="196" customWidth="1"/>
    <col min="24" max="25" width="24.42578125" style="238" customWidth="1"/>
    <col min="26" max="26" width="14.7109375" style="4" customWidth="1"/>
    <col min="27" max="27" width="16.140625" style="4" customWidth="1"/>
    <col min="28" max="28" width="12.7109375" style="4" customWidth="1"/>
    <col min="29" max="29" width="12.7109375" style="123" customWidth="1"/>
    <col min="30" max="30" width="11.42578125" style="4"/>
    <col min="31" max="31" width="11.42578125" style="123"/>
    <col min="32" max="32" width="11.5703125" style="4" bestFit="1" customWidth="1"/>
    <col min="33" max="33" width="11.5703125" style="123" customWidth="1"/>
    <col min="34" max="34" width="11.5703125" style="4" bestFit="1" customWidth="1"/>
    <col min="35" max="35" width="11.5703125" style="123" customWidth="1"/>
    <col min="36" max="36" width="11.42578125" style="4" customWidth="1"/>
    <col min="37" max="37" width="11.42578125" style="123" customWidth="1"/>
    <col min="38" max="38" width="11.5703125" style="4" bestFit="1" customWidth="1"/>
    <col min="39" max="39" width="11.5703125" style="123" customWidth="1"/>
    <col min="40" max="40" width="11.5703125" style="4" bestFit="1" customWidth="1"/>
    <col min="41" max="41" width="11.5703125" style="123" customWidth="1"/>
    <col min="42" max="42" width="11.5703125" style="4" bestFit="1" customWidth="1"/>
    <col min="43" max="43" width="11.5703125" style="123" customWidth="1"/>
    <col min="44" max="44" width="11.42578125" style="4"/>
    <col min="45" max="45" width="11.42578125" style="123"/>
    <col min="46" max="46" width="11.42578125" style="4"/>
    <col min="47" max="47" width="11.42578125" style="123"/>
    <col min="48" max="48" width="11.42578125" style="4"/>
    <col min="49" max="49" width="11.42578125" style="123"/>
    <col min="50" max="50" width="11.5703125" style="4" bestFit="1" customWidth="1"/>
    <col min="51" max="51" width="11.5703125" style="123" customWidth="1"/>
    <col min="52" max="57" width="21" style="4" customWidth="1"/>
    <col min="58" max="58" width="22.7109375" style="5" customWidth="1"/>
    <col min="59" max="59" width="22.7109375" style="236" customWidth="1"/>
    <col min="60" max="60" width="22.7109375" style="5" customWidth="1"/>
    <col min="61" max="61" width="22.7109375" style="236" customWidth="1"/>
    <col min="62" max="62" width="28.7109375" style="4" customWidth="1"/>
    <col min="63" max="16384" width="11.42578125" style="4"/>
  </cols>
  <sheetData>
    <row r="1" spans="1:62" ht="15" customHeight="1"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2742"/>
      <c r="BD1" s="2742"/>
      <c r="BE1" s="2742"/>
      <c r="BF1" s="2742"/>
      <c r="BG1" s="2083"/>
      <c r="BH1" s="4"/>
      <c r="BI1" s="1895" t="s">
        <v>1</v>
      </c>
      <c r="BJ1" s="1895" t="s">
        <v>2</v>
      </c>
    </row>
    <row r="2" spans="1:62"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2742"/>
      <c r="BD2" s="2742"/>
      <c r="BE2" s="2742"/>
      <c r="BF2" s="2742"/>
      <c r="BG2" s="2083"/>
      <c r="BH2" s="4"/>
      <c r="BI2" s="1896" t="s">
        <v>3</v>
      </c>
      <c r="BJ2" s="1897">
        <v>5</v>
      </c>
    </row>
    <row r="3" spans="1:62"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2742"/>
      <c r="BD3" s="2742"/>
      <c r="BE3" s="2742"/>
      <c r="BF3" s="2742"/>
      <c r="BG3" s="2083"/>
      <c r="BH3" s="4"/>
      <c r="BI3" s="1895" t="s">
        <v>4</v>
      </c>
      <c r="BJ3" s="1898" t="s">
        <v>5</v>
      </c>
    </row>
    <row r="4" spans="1:62" s="24" customFormat="1" ht="21"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2743"/>
      <c r="BD4" s="2743"/>
      <c r="BE4" s="2743"/>
      <c r="BF4" s="2743"/>
      <c r="BG4" s="2084"/>
      <c r="BI4" s="679" t="s">
        <v>6</v>
      </c>
      <c r="BJ4" s="1899" t="s">
        <v>7</v>
      </c>
    </row>
    <row r="5" spans="1:62"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2"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2" ht="22.5" customHeight="1" x14ac:dyDescent="0.2">
      <c r="A7" s="2748" t="s">
        <v>11</v>
      </c>
      <c r="B7" s="2748" t="s">
        <v>12</v>
      </c>
      <c r="C7" s="2748"/>
      <c r="D7" s="2748" t="s">
        <v>11</v>
      </c>
      <c r="E7" s="2748" t="s">
        <v>13</v>
      </c>
      <c r="F7" s="2748"/>
      <c r="G7" s="2748" t="s">
        <v>11</v>
      </c>
      <c r="H7" s="2748" t="s">
        <v>14</v>
      </c>
      <c r="I7" s="2748"/>
      <c r="J7" s="2748" t="s">
        <v>11</v>
      </c>
      <c r="K7" s="2748" t="s">
        <v>15</v>
      </c>
      <c r="L7" s="2748" t="s">
        <v>16</v>
      </c>
      <c r="M7" s="2729" t="s">
        <v>17</v>
      </c>
      <c r="N7" s="2731"/>
      <c r="O7" s="2748" t="s">
        <v>18</v>
      </c>
      <c r="P7" s="2735" t="s">
        <v>19</v>
      </c>
      <c r="Q7" s="2748" t="s">
        <v>9</v>
      </c>
      <c r="R7" s="2748" t="s">
        <v>20</v>
      </c>
      <c r="S7" s="2748" t="s">
        <v>21</v>
      </c>
      <c r="T7" s="2748" t="s">
        <v>22</v>
      </c>
      <c r="U7" s="2748" t="s">
        <v>23</v>
      </c>
      <c r="V7" s="2748" t="s">
        <v>24</v>
      </c>
      <c r="W7" s="2729" t="s">
        <v>21</v>
      </c>
      <c r="X7" s="2730"/>
      <c r="Y7" s="2731"/>
      <c r="Z7" s="2735" t="s">
        <v>11</v>
      </c>
      <c r="AA7" s="2748" t="s">
        <v>25</v>
      </c>
      <c r="AB7" s="2752" t="s">
        <v>26</v>
      </c>
      <c r="AC7" s="2753"/>
      <c r="AD7" s="2753"/>
      <c r="AE7" s="2753"/>
      <c r="AF7" s="2753"/>
      <c r="AG7" s="2753"/>
      <c r="AH7" s="2753"/>
      <c r="AI7" s="2753"/>
      <c r="AJ7" s="2753"/>
      <c r="AK7" s="2753"/>
      <c r="AL7" s="2753"/>
      <c r="AM7" s="2754"/>
      <c r="AN7" s="2752" t="s">
        <v>27</v>
      </c>
      <c r="AO7" s="2753"/>
      <c r="AP7" s="2753"/>
      <c r="AQ7" s="2753"/>
      <c r="AR7" s="2753"/>
      <c r="AS7" s="2753"/>
      <c r="AT7" s="2753"/>
      <c r="AU7" s="2753"/>
      <c r="AV7" s="2753"/>
      <c r="AW7" s="2753"/>
      <c r="AX7" s="2753"/>
      <c r="AY7" s="2754"/>
      <c r="AZ7" s="2755" t="s">
        <v>28</v>
      </c>
      <c r="BA7" s="2756"/>
      <c r="BB7" s="2756"/>
      <c r="BC7" s="2756"/>
      <c r="BD7" s="2756"/>
      <c r="BE7" s="2757"/>
      <c r="BF7" s="2738" t="s">
        <v>29</v>
      </c>
      <c r="BG7" s="2739"/>
      <c r="BH7" s="2738" t="s">
        <v>30</v>
      </c>
      <c r="BI7" s="2739"/>
      <c r="BJ7" s="2751" t="s">
        <v>31</v>
      </c>
    </row>
    <row r="8" spans="1:62" ht="31.5" customHeight="1" x14ac:dyDescent="0.2">
      <c r="A8" s="2748"/>
      <c r="B8" s="2748"/>
      <c r="C8" s="2748"/>
      <c r="D8" s="2748"/>
      <c r="E8" s="2748"/>
      <c r="F8" s="2748"/>
      <c r="G8" s="2748"/>
      <c r="H8" s="2748"/>
      <c r="I8" s="2748"/>
      <c r="J8" s="2748"/>
      <c r="K8" s="2748"/>
      <c r="L8" s="2748"/>
      <c r="M8" s="2749"/>
      <c r="N8" s="2750"/>
      <c r="O8" s="2748"/>
      <c r="P8" s="2736"/>
      <c r="Q8" s="2748"/>
      <c r="R8" s="2748"/>
      <c r="S8" s="2748"/>
      <c r="T8" s="2748"/>
      <c r="U8" s="2748"/>
      <c r="V8" s="2748"/>
      <c r="W8" s="2732"/>
      <c r="X8" s="2733"/>
      <c r="Y8" s="2734"/>
      <c r="Z8" s="2736"/>
      <c r="AA8" s="2748"/>
      <c r="AB8" s="2724" t="s">
        <v>32</v>
      </c>
      <c r="AC8" s="2725"/>
      <c r="AD8" s="2724" t="s">
        <v>33</v>
      </c>
      <c r="AE8" s="2725"/>
      <c r="AF8" s="2724" t="s">
        <v>34</v>
      </c>
      <c r="AG8" s="2725"/>
      <c r="AH8" s="2724" t="s">
        <v>35</v>
      </c>
      <c r="AI8" s="2725"/>
      <c r="AJ8" s="2724" t="s">
        <v>36</v>
      </c>
      <c r="AK8" s="2725"/>
      <c r="AL8" s="2724" t="s">
        <v>37</v>
      </c>
      <c r="AM8" s="2725"/>
      <c r="AN8" s="2724" t="s">
        <v>38</v>
      </c>
      <c r="AO8" s="2725"/>
      <c r="AP8" s="2724" t="s">
        <v>39</v>
      </c>
      <c r="AQ8" s="2725"/>
      <c r="AR8" s="2724" t="s">
        <v>40</v>
      </c>
      <c r="AS8" s="2725"/>
      <c r="AT8" s="2724" t="s">
        <v>41</v>
      </c>
      <c r="AU8" s="2725"/>
      <c r="AV8" s="2724" t="s">
        <v>42</v>
      </c>
      <c r="AW8" s="2725"/>
      <c r="AX8" s="2724" t="s">
        <v>43</v>
      </c>
      <c r="AY8" s="2725"/>
      <c r="AZ8" s="2726" t="s">
        <v>44</v>
      </c>
      <c r="BA8" s="2727" t="s">
        <v>45</v>
      </c>
      <c r="BB8" s="2726" t="s">
        <v>46</v>
      </c>
      <c r="BC8" s="2728" t="s">
        <v>47</v>
      </c>
      <c r="BD8" s="2726" t="s">
        <v>48</v>
      </c>
      <c r="BE8" s="2721" t="s">
        <v>49</v>
      </c>
      <c r="BF8" s="2740"/>
      <c r="BG8" s="2741"/>
      <c r="BH8" s="2740"/>
      <c r="BI8" s="2741"/>
      <c r="BJ8" s="2751"/>
    </row>
    <row r="9" spans="1:62" ht="36" customHeight="1" x14ac:dyDescent="0.2">
      <c r="A9" s="2748"/>
      <c r="B9" s="2748"/>
      <c r="C9" s="2748"/>
      <c r="D9" s="2748"/>
      <c r="E9" s="2748"/>
      <c r="F9" s="2748"/>
      <c r="G9" s="2748"/>
      <c r="H9" s="2748"/>
      <c r="I9" s="2748"/>
      <c r="J9" s="2748"/>
      <c r="K9" s="2748"/>
      <c r="L9" s="2748"/>
      <c r="M9" s="2081" t="s">
        <v>50</v>
      </c>
      <c r="N9" s="91" t="s">
        <v>51</v>
      </c>
      <c r="O9" s="2748"/>
      <c r="P9" s="2737"/>
      <c r="Q9" s="2748"/>
      <c r="R9" s="2748"/>
      <c r="S9" s="2748"/>
      <c r="T9" s="2748"/>
      <c r="U9" s="2748"/>
      <c r="V9" s="2748"/>
      <c r="W9" s="2081" t="s">
        <v>52</v>
      </c>
      <c r="X9" s="91" t="s">
        <v>53</v>
      </c>
      <c r="Y9" s="91" t="s">
        <v>54</v>
      </c>
      <c r="Z9" s="2737"/>
      <c r="AA9" s="2748"/>
      <c r="AB9" s="2081" t="s">
        <v>50</v>
      </c>
      <c r="AC9" s="2374" t="s">
        <v>51</v>
      </c>
      <c r="AD9" s="2081" t="s">
        <v>50</v>
      </c>
      <c r="AE9" s="2374" t="s">
        <v>51</v>
      </c>
      <c r="AF9" s="2081" t="s">
        <v>50</v>
      </c>
      <c r="AG9" s="2374" t="s">
        <v>51</v>
      </c>
      <c r="AH9" s="2081" t="s">
        <v>50</v>
      </c>
      <c r="AI9" s="2374" t="s">
        <v>51</v>
      </c>
      <c r="AJ9" s="2081" t="s">
        <v>50</v>
      </c>
      <c r="AK9" s="2374" t="s">
        <v>51</v>
      </c>
      <c r="AL9" s="2081" t="s">
        <v>50</v>
      </c>
      <c r="AM9" s="2374" t="s">
        <v>51</v>
      </c>
      <c r="AN9" s="2081" t="s">
        <v>50</v>
      </c>
      <c r="AO9" s="2374" t="s">
        <v>51</v>
      </c>
      <c r="AP9" s="2081" t="s">
        <v>50</v>
      </c>
      <c r="AQ9" s="2374" t="s">
        <v>51</v>
      </c>
      <c r="AR9" s="2081" t="s">
        <v>50</v>
      </c>
      <c r="AS9" s="2374" t="s">
        <v>51</v>
      </c>
      <c r="AT9" s="2081" t="s">
        <v>50</v>
      </c>
      <c r="AU9" s="2374" t="s">
        <v>51</v>
      </c>
      <c r="AV9" s="2081" t="s">
        <v>50</v>
      </c>
      <c r="AW9" s="2374" t="s">
        <v>51</v>
      </c>
      <c r="AX9" s="2081" t="s">
        <v>50</v>
      </c>
      <c r="AY9" s="2374" t="s">
        <v>51</v>
      </c>
      <c r="AZ9" s="2726"/>
      <c r="BA9" s="2727"/>
      <c r="BB9" s="2726"/>
      <c r="BC9" s="2728"/>
      <c r="BD9" s="2726"/>
      <c r="BE9" s="2722"/>
      <c r="BF9" s="2188" t="s">
        <v>50</v>
      </c>
      <c r="BG9" s="116" t="s">
        <v>51</v>
      </c>
      <c r="BH9" s="2188" t="s">
        <v>50</v>
      </c>
      <c r="BI9" s="116" t="s">
        <v>51</v>
      </c>
      <c r="BJ9" s="2751"/>
    </row>
    <row r="10" spans="1:62" ht="11.45" hidden="1" customHeight="1" x14ac:dyDescent="0.2">
      <c r="A10" s="2748"/>
      <c r="B10" s="2748"/>
      <c r="C10" s="2748"/>
      <c r="D10" s="2748"/>
      <c r="E10" s="2748"/>
      <c r="F10" s="2748"/>
      <c r="G10" s="2748"/>
      <c r="H10" s="2748"/>
      <c r="I10" s="2748"/>
      <c r="J10" s="2748"/>
      <c r="K10" s="2748"/>
      <c r="L10" s="2748"/>
      <c r="M10" s="93"/>
      <c r="N10" s="162"/>
      <c r="O10" s="2748"/>
      <c r="P10" s="2081"/>
      <c r="Q10" s="2748"/>
      <c r="R10" s="2748"/>
      <c r="S10" s="2748"/>
      <c r="T10" s="2748"/>
      <c r="U10" s="2748"/>
      <c r="V10" s="2748"/>
      <c r="W10" s="2081"/>
      <c r="X10" s="91"/>
      <c r="Y10" s="91"/>
      <c r="Z10" s="2081"/>
      <c r="AA10" s="2748"/>
      <c r="AB10" s="92"/>
      <c r="AC10" s="116"/>
      <c r="AD10" s="92"/>
      <c r="AE10" s="199"/>
      <c r="AF10" s="92"/>
      <c r="AG10" s="116"/>
      <c r="AH10" s="92"/>
      <c r="AI10" s="199"/>
      <c r="AJ10" s="92"/>
      <c r="AK10" s="116"/>
      <c r="AL10" s="92"/>
      <c r="AM10" s="116"/>
      <c r="AN10" s="92"/>
      <c r="AO10" s="199"/>
      <c r="AP10" s="92"/>
      <c r="AQ10" s="116"/>
      <c r="AR10" s="92"/>
      <c r="AS10" s="199"/>
      <c r="AT10" s="92"/>
      <c r="AU10" s="116"/>
      <c r="AV10" s="92"/>
      <c r="AW10" s="199"/>
      <c r="AX10" s="92"/>
      <c r="AY10" s="116"/>
      <c r="AZ10" s="2188"/>
      <c r="BA10" s="2188"/>
      <c r="BB10" s="2188"/>
      <c r="BC10" s="2188"/>
      <c r="BD10" s="2188"/>
      <c r="BE10" s="2188"/>
      <c r="BF10" s="2188"/>
      <c r="BG10" s="116"/>
      <c r="BH10" s="2188"/>
      <c r="BI10" s="116"/>
      <c r="BJ10" s="2751"/>
    </row>
    <row r="11" spans="1:62" ht="28.15" hidden="1" customHeight="1" x14ac:dyDescent="0.2">
      <c r="A11" s="2748"/>
      <c r="B11" s="2748"/>
      <c r="C11" s="2748"/>
      <c r="D11" s="2748"/>
      <c r="E11" s="2748"/>
      <c r="F11" s="2748"/>
      <c r="G11" s="2748"/>
      <c r="H11" s="2748"/>
      <c r="I11" s="2748"/>
      <c r="J11" s="2748"/>
      <c r="K11" s="2748"/>
      <c r="L11" s="2748"/>
      <c r="M11" s="93"/>
      <c r="N11" s="162"/>
      <c r="O11" s="2748"/>
      <c r="P11" s="2081"/>
      <c r="Q11" s="2748"/>
      <c r="R11" s="2748"/>
      <c r="S11" s="2748"/>
      <c r="T11" s="2748"/>
      <c r="U11" s="2748"/>
      <c r="V11" s="2748"/>
      <c r="W11" s="2081"/>
      <c r="X11" s="91"/>
      <c r="Y11" s="91"/>
      <c r="Z11" s="2081"/>
      <c r="AA11" s="2748"/>
      <c r="AB11" s="92"/>
      <c r="AC11" s="116"/>
      <c r="AD11" s="92"/>
      <c r="AE11" s="199"/>
      <c r="AF11" s="92"/>
      <c r="AG11" s="116"/>
      <c r="AH11" s="92"/>
      <c r="AI11" s="199"/>
      <c r="AJ11" s="92"/>
      <c r="AK11" s="116"/>
      <c r="AL11" s="92"/>
      <c r="AM11" s="116"/>
      <c r="AN11" s="92"/>
      <c r="AO11" s="199"/>
      <c r="AP11" s="92"/>
      <c r="AQ11" s="116"/>
      <c r="AR11" s="92"/>
      <c r="AS11" s="199"/>
      <c r="AT11" s="92"/>
      <c r="AU11" s="116"/>
      <c r="AV11" s="92"/>
      <c r="AW11" s="199"/>
      <c r="AX11" s="92"/>
      <c r="AY11" s="116"/>
      <c r="AZ11" s="2188"/>
      <c r="BA11" s="2188"/>
      <c r="BB11" s="2188"/>
      <c r="BC11" s="2188"/>
      <c r="BD11" s="2188"/>
      <c r="BE11" s="2188"/>
      <c r="BF11" s="2188"/>
      <c r="BG11" s="116"/>
      <c r="BH11" s="2188"/>
      <c r="BI11" s="116"/>
      <c r="BJ11" s="2751"/>
    </row>
    <row r="12" spans="1:62" ht="5.25" hidden="1" customHeight="1" x14ac:dyDescent="0.2">
      <c r="A12" s="2748"/>
      <c r="B12" s="2748"/>
      <c r="C12" s="2748"/>
      <c r="D12" s="2748"/>
      <c r="E12" s="2748"/>
      <c r="F12" s="2748"/>
      <c r="G12" s="2748"/>
      <c r="H12" s="2748"/>
      <c r="I12" s="2748"/>
      <c r="J12" s="2748"/>
      <c r="K12" s="2748"/>
      <c r="L12" s="2748"/>
      <c r="M12" s="93"/>
      <c r="N12" s="162"/>
      <c r="O12" s="2748"/>
      <c r="P12" s="2081"/>
      <c r="Q12" s="2748"/>
      <c r="R12" s="2748"/>
      <c r="S12" s="2748"/>
      <c r="T12" s="2748"/>
      <c r="U12" s="2748"/>
      <c r="V12" s="2748"/>
      <c r="W12" s="2081"/>
      <c r="X12" s="91"/>
      <c r="Y12" s="91"/>
      <c r="Z12" s="2081"/>
      <c r="AA12" s="2748"/>
      <c r="AB12" s="92"/>
      <c r="AC12" s="116"/>
      <c r="AD12" s="92"/>
      <c r="AE12" s="199"/>
      <c r="AF12" s="92"/>
      <c r="AG12" s="116"/>
      <c r="AH12" s="92"/>
      <c r="AI12" s="199"/>
      <c r="AJ12" s="92"/>
      <c r="AK12" s="116"/>
      <c r="AL12" s="92"/>
      <c r="AM12" s="116"/>
      <c r="AN12" s="92"/>
      <c r="AO12" s="199"/>
      <c r="AP12" s="92"/>
      <c r="AQ12" s="116"/>
      <c r="AR12" s="92"/>
      <c r="AS12" s="199"/>
      <c r="AT12" s="92"/>
      <c r="AU12" s="116"/>
      <c r="AV12" s="92"/>
      <c r="AW12" s="199"/>
      <c r="AX12" s="92"/>
      <c r="AY12" s="116"/>
      <c r="AZ12" s="2188"/>
      <c r="BA12" s="2188"/>
      <c r="BB12" s="2188"/>
      <c r="BC12" s="2188"/>
      <c r="BD12" s="2188"/>
      <c r="BE12" s="2188"/>
      <c r="BF12" s="2188"/>
      <c r="BG12" s="116"/>
      <c r="BH12" s="2188"/>
      <c r="BI12" s="116"/>
      <c r="BJ12" s="2751"/>
    </row>
    <row r="13" spans="1:62" ht="6.6" hidden="1" customHeight="1" x14ac:dyDescent="0.2">
      <c r="A13" s="2748"/>
      <c r="B13" s="2748"/>
      <c r="C13" s="2748"/>
      <c r="D13" s="2748"/>
      <c r="E13" s="2748"/>
      <c r="F13" s="2748"/>
      <c r="G13" s="2748"/>
      <c r="H13" s="2748"/>
      <c r="I13" s="2748"/>
      <c r="J13" s="2748"/>
      <c r="K13" s="2748"/>
      <c r="L13" s="2748"/>
      <c r="M13" s="93"/>
      <c r="N13" s="162"/>
      <c r="O13" s="2748"/>
      <c r="P13" s="2081"/>
      <c r="Q13" s="2748"/>
      <c r="R13" s="2748"/>
      <c r="S13" s="2748"/>
      <c r="T13" s="2748"/>
      <c r="U13" s="2748"/>
      <c r="V13" s="2748"/>
      <c r="W13" s="2081"/>
      <c r="X13" s="91"/>
      <c r="Y13" s="91"/>
      <c r="Z13" s="2081"/>
      <c r="AA13" s="2748"/>
      <c r="AB13" s="92"/>
      <c r="AC13" s="116"/>
      <c r="AD13" s="92"/>
      <c r="AE13" s="199"/>
      <c r="AF13" s="92"/>
      <c r="AG13" s="116"/>
      <c r="AH13" s="92"/>
      <c r="AI13" s="199"/>
      <c r="AJ13" s="92"/>
      <c r="AK13" s="116"/>
      <c r="AL13" s="92"/>
      <c r="AM13" s="116"/>
      <c r="AN13" s="92"/>
      <c r="AO13" s="199"/>
      <c r="AP13" s="92"/>
      <c r="AQ13" s="116"/>
      <c r="AR13" s="92"/>
      <c r="AS13" s="199"/>
      <c r="AT13" s="92"/>
      <c r="AU13" s="116"/>
      <c r="AV13" s="92"/>
      <c r="AW13" s="199"/>
      <c r="AX13" s="92"/>
      <c r="AY13" s="116"/>
      <c r="AZ13" s="2188"/>
      <c r="BA13" s="2188"/>
      <c r="BB13" s="2188"/>
      <c r="BC13" s="2188"/>
      <c r="BD13" s="2188"/>
      <c r="BE13" s="2188"/>
      <c r="BF13" s="2188"/>
      <c r="BG13" s="116"/>
      <c r="BH13" s="2188"/>
      <c r="BI13" s="116"/>
      <c r="BJ13" s="2751"/>
    </row>
    <row r="14" spans="1:62" ht="15" hidden="1" customHeight="1" x14ac:dyDescent="0.2">
      <c r="A14" s="2748"/>
      <c r="B14" s="2748"/>
      <c r="C14" s="2748"/>
      <c r="D14" s="2748"/>
      <c r="E14" s="2748"/>
      <c r="F14" s="2748"/>
      <c r="G14" s="2748"/>
      <c r="H14" s="2748"/>
      <c r="I14" s="2748"/>
      <c r="J14" s="2748"/>
      <c r="K14" s="2748"/>
      <c r="L14" s="2748"/>
      <c r="M14" s="93"/>
      <c r="N14" s="162"/>
      <c r="O14" s="2748"/>
      <c r="P14" s="2081"/>
      <c r="Q14" s="2748"/>
      <c r="R14" s="2748"/>
      <c r="S14" s="2748"/>
      <c r="T14" s="2748"/>
      <c r="U14" s="2748"/>
      <c r="V14" s="2748"/>
      <c r="W14" s="2081"/>
      <c r="X14" s="91"/>
      <c r="Y14" s="91"/>
      <c r="Z14" s="2081"/>
      <c r="AA14" s="2748"/>
      <c r="AB14" s="92"/>
      <c r="AC14" s="116"/>
      <c r="AD14" s="92"/>
      <c r="AE14" s="199"/>
      <c r="AF14" s="92"/>
      <c r="AG14" s="116"/>
      <c r="AH14" s="92"/>
      <c r="AI14" s="199"/>
      <c r="AJ14" s="92"/>
      <c r="AK14" s="116"/>
      <c r="AL14" s="92"/>
      <c r="AM14" s="116"/>
      <c r="AN14" s="92"/>
      <c r="AO14" s="199"/>
      <c r="AP14" s="92"/>
      <c r="AQ14" s="116"/>
      <c r="AR14" s="92"/>
      <c r="AS14" s="199"/>
      <c r="AT14" s="92"/>
      <c r="AU14" s="116"/>
      <c r="AV14" s="92"/>
      <c r="AW14" s="199"/>
      <c r="AX14" s="92"/>
      <c r="AY14" s="116"/>
      <c r="AZ14" s="2188"/>
      <c r="BA14" s="2188"/>
      <c r="BB14" s="2188"/>
      <c r="BC14" s="2188"/>
      <c r="BD14" s="2188"/>
      <c r="BE14" s="2188"/>
      <c r="BF14" s="2188"/>
      <c r="BG14" s="116"/>
      <c r="BH14" s="2188"/>
      <c r="BI14" s="116"/>
      <c r="BJ14" s="2751"/>
    </row>
    <row r="15" spans="1:62" ht="0.75" customHeight="1" x14ac:dyDescent="0.2">
      <c r="A15" s="2748"/>
      <c r="B15" s="2748"/>
      <c r="C15" s="2748"/>
      <c r="D15" s="2748"/>
      <c r="E15" s="2748"/>
      <c r="F15" s="2748"/>
      <c r="G15" s="2748"/>
      <c r="H15" s="2748"/>
      <c r="I15" s="2748"/>
      <c r="J15" s="2748"/>
      <c r="K15" s="2748"/>
      <c r="L15" s="2748"/>
      <c r="M15" s="94"/>
      <c r="N15" s="163"/>
      <c r="O15" s="2748"/>
      <c r="P15" s="2081"/>
      <c r="Q15" s="2748"/>
      <c r="R15" s="2748"/>
      <c r="S15" s="2748"/>
      <c r="T15" s="2748"/>
      <c r="U15" s="2748"/>
      <c r="V15" s="2748"/>
      <c r="W15" s="2081"/>
      <c r="X15" s="91"/>
      <c r="Y15" s="91"/>
      <c r="Z15" s="2081"/>
      <c r="AA15" s="2748"/>
      <c r="AB15" s="92"/>
      <c r="AC15" s="116"/>
      <c r="AD15" s="92"/>
      <c r="AE15" s="199"/>
      <c r="AF15" s="92"/>
      <c r="AG15" s="116"/>
      <c r="AH15" s="92"/>
      <c r="AI15" s="199"/>
      <c r="AJ15" s="92"/>
      <c r="AK15" s="116"/>
      <c r="AL15" s="92"/>
      <c r="AM15" s="116"/>
      <c r="AN15" s="92"/>
      <c r="AO15" s="199"/>
      <c r="AP15" s="92"/>
      <c r="AQ15" s="116"/>
      <c r="AR15" s="92"/>
      <c r="AS15" s="199"/>
      <c r="AT15" s="92"/>
      <c r="AU15" s="116"/>
      <c r="AV15" s="92"/>
      <c r="AW15" s="199"/>
      <c r="AX15" s="92"/>
      <c r="AY15" s="116"/>
      <c r="AZ15" s="2188"/>
      <c r="BA15" s="2188"/>
      <c r="BB15" s="2188"/>
      <c r="BC15" s="2188"/>
      <c r="BD15" s="2188"/>
      <c r="BE15" s="2188"/>
      <c r="BF15" s="2188"/>
      <c r="BG15" s="116"/>
      <c r="BH15" s="2188"/>
      <c r="BI15" s="116"/>
      <c r="BJ15" s="2751"/>
    </row>
    <row r="16" spans="1:62" ht="20.25" customHeight="1" x14ac:dyDescent="0.2">
      <c r="A16" s="40">
        <v>5</v>
      </c>
      <c r="B16" s="2563" t="s">
        <v>55</v>
      </c>
      <c r="C16" s="2564"/>
      <c r="D16" s="2564"/>
      <c r="E16" s="2564"/>
      <c r="F16" s="200"/>
      <c r="G16" s="200"/>
      <c r="H16" s="200"/>
      <c r="I16" s="200"/>
      <c r="J16" s="200"/>
      <c r="K16" s="200"/>
      <c r="L16" s="200"/>
      <c r="M16" s="200"/>
      <c r="N16" s="201"/>
      <c r="O16" s="200"/>
      <c r="P16" s="200"/>
      <c r="Q16" s="200"/>
      <c r="R16" s="200"/>
      <c r="S16" s="200"/>
      <c r="T16" s="200"/>
      <c r="U16" s="200"/>
      <c r="V16" s="200"/>
      <c r="W16" s="202"/>
      <c r="X16" s="203"/>
      <c r="Y16" s="203"/>
      <c r="Z16" s="200"/>
      <c r="AA16" s="200"/>
      <c r="AB16" s="200"/>
      <c r="AC16" s="201"/>
      <c r="AD16" s="200"/>
      <c r="AE16" s="201"/>
      <c r="AF16" s="200"/>
      <c r="AG16" s="201"/>
      <c r="AH16" s="200"/>
      <c r="AI16" s="201"/>
      <c r="AJ16" s="200"/>
      <c r="AK16" s="201"/>
      <c r="AL16" s="200"/>
      <c r="AM16" s="201"/>
      <c r="AN16" s="200"/>
      <c r="AO16" s="201"/>
      <c r="AP16" s="200"/>
      <c r="AQ16" s="201"/>
      <c r="AR16" s="200"/>
      <c r="AS16" s="201"/>
      <c r="AT16" s="200"/>
      <c r="AU16" s="201"/>
      <c r="AV16" s="200"/>
      <c r="AW16" s="201"/>
      <c r="AX16" s="200"/>
      <c r="AY16" s="201"/>
      <c r="AZ16" s="200"/>
      <c r="BA16" s="200"/>
      <c r="BB16" s="200"/>
      <c r="BC16" s="200"/>
      <c r="BD16" s="200"/>
      <c r="BE16" s="200"/>
      <c r="BF16" s="202"/>
      <c r="BG16" s="203"/>
      <c r="BH16" s="202"/>
      <c r="BI16" s="203"/>
      <c r="BJ16" s="204"/>
    </row>
    <row r="17" spans="1:62" ht="23.25" customHeight="1" x14ac:dyDescent="0.2">
      <c r="A17" s="2707"/>
      <c r="B17" s="2723"/>
      <c r="C17" s="2723"/>
      <c r="D17" s="205">
        <v>28</v>
      </c>
      <c r="E17" s="2213" t="s">
        <v>56</v>
      </c>
      <c r="F17" s="206"/>
      <c r="G17" s="207"/>
      <c r="H17" s="206"/>
      <c r="I17" s="206"/>
      <c r="J17" s="206"/>
      <c r="K17" s="206"/>
      <c r="L17" s="206"/>
      <c r="M17" s="206"/>
      <c r="N17" s="208"/>
      <c r="O17" s="206"/>
      <c r="P17" s="206"/>
      <c r="Q17" s="206"/>
      <c r="R17" s="206"/>
      <c r="S17" s="206"/>
      <c r="T17" s="206"/>
      <c r="U17" s="206"/>
      <c r="V17" s="206"/>
      <c r="W17" s="209"/>
      <c r="X17" s="210"/>
      <c r="Y17" s="210"/>
      <c r="Z17" s="206"/>
      <c r="AA17" s="206"/>
      <c r="AB17" s="206"/>
      <c r="AC17" s="208"/>
      <c r="AD17" s="206"/>
      <c r="AE17" s="208"/>
      <c r="AF17" s="206"/>
      <c r="AG17" s="208"/>
      <c r="AH17" s="206"/>
      <c r="AI17" s="208"/>
      <c r="AJ17" s="206"/>
      <c r="AK17" s="208"/>
      <c r="AL17" s="206"/>
      <c r="AM17" s="208"/>
      <c r="AN17" s="206"/>
      <c r="AO17" s="208"/>
      <c r="AP17" s="206"/>
      <c r="AQ17" s="208"/>
      <c r="AR17" s="206"/>
      <c r="AS17" s="208"/>
      <c r="AT17" s="206"/>
      <c r="AU17" s="208"/>
      <c r="AV17" s="206"/>
      <c r="AW17" s="208"/>
      <c r="AX17" s="206"/>
      <c r="AY17" s="208"/>
      <c r="AZ17" s="206"/>
      <c r="BA17" s="206"/>
      <c r="BB17" s="206"/>
      <c r="BC17" s="206"/>
      <c r="BD17" s="206"/>
      <c r="BE17" s="206"/>
      <c r="BF17" s="209"/>
      <c r="BG17" s="210"/>
      <c r="BH17" s="209"/>
      <c r="BI17" s="210"/>
      <c r="BJ17" s="211"/>
    </row>
    <row r="18" spans="1:62" ht="25.5" customHeight="1" x14ac:dyDescent="0.2">
      <c r="A18" s="2708"/>
      <c r="B18" s="2723"/>
      <c r="C18" s="2723"/>
      <c r="D18" s="2723"/>
      <c r="E18" s="2723"/>
      <c r="F18" s="2723"/>
      <c r="G18" s="212">
        <v>89</v>
      </c>
      <c r="H18" s="50" t="s">
        <v>57</v>
      </c>
      <c r="I18" s="43"/>
      <c r="J18" s="213"/>
      <c r="K18" s="213"/>
      <c r="L18" s="213"/>
      <c r="M18" s="213"/>
      <c r="N18" s="214"/>
      <c r="O18" s="213"/>
      <c r="P18" s="213"/>
      <c r="Q18" s="213"/>
      <c r="R18" s="213"/>
      <c r="S18" s="213"/>
      <c r="T18" s="213"/>
      <c r="U18" s="213"/>
      <c r="V18" s="213"/>
      <c r="W18" s="215"/>
      <c r="X18" s="216"/>
      <c r="Y18" s="216"/>
      <c r="Z18" s="213"/>
      <c r="AA18" s="213"/>
      <c r="AB18" s="213"/>
      <c r="AC18" s="214"/>
      <c r="AD18" s="213"/>
      <c r="AE18" s="214"/>
      <c r="AF18" s="213"/>
      <c r="AG18" s="214"/>
      <c r="AH18" s="213"/>
      <c r="AI18" s="214"/>
      <c r="AJ18" s="213"/>
      <c r="AK18" s="214"/>
      <c r="AL18" s="213"/>
      <c r="AM18" s="214"/>
      <c r="AN18" s="213"/>
      <c r="AO18" s="214"/>
      <c r="AP18" s="213"/>
      <c r="AQ18" s="214"/>
      <c r="AR18" s="213"/>
      <c r="AS18" s="214"/>
      <c r="AT18" s="213"/>
      <c r="AU18" s="214"/>
      <c r="AV18" s="213"/>
      <c r="AW18" s="214"/>
      <c r="AX18" s="213"/>
      <c r="AY18" s="214"/>
      <c r="AZ18" s="213"/>
      <c r="BA18" s="213"/>
      <c r="BB18" s="213"/>
      <c r="BC18" s="213"/>
      <c r="BD18" s="213"/>
      <c r="BE18" s="213"/>
      <c r="BF18" s="215"/>
      <c r="BG18" s="216"/>
      <c r="BH18" s="215"/>
      <c r="BI18" s="216"/>
      <c r="BJ18" s="43"/>
    </row>
    <row r="19" spans="1:62" s="130" customFormat="1" ht="56.25" customHeight="1" x14ac:dyDescent="0.2">
      <c r="A19" s="2708"/>
      <c r="B19" s="2723"/>
      <c r="C19" s="2723"/>
      <c r="D19" s="2723"/>
      <c r="E19" s="2723"/>
      <c r="F19" s="2723"/>
      <c r="G19" s="2723"/>
      <c r="H19" s="2723"/>
      <c r="I19" s="2723"/>
      <c r="J19" s="2683">
        <v>282</v>
      </c>
      <c r="K19" s="2677" t="s">
        <v>58</v>
      </c>
      <c r="L19" s="2683" t="s">
        <v>59</v>
      </c>
      <c r="M19" s="2683">
        <v>2</v>
      </c>
      <c r="N19" s="2672">
        <v>2</v>
      </c>
      <c r="O19" s="2600" t="s">
        <v>60</v>
      </c>
      <c r="P19" s="2581">
        <v>1</v>
      </c>
      <c r="Q19" s="2677" t="s">
        <v>61</v>
      </c>
      <c r="R19" s="2720">
        <v>1</v>
      </c>
      <c r="S19" s="2637">
        <v>70000000</v>
      </c>
      <c r="T19" s="2716" t="s">
        <v>62</v>
      </c>
      <c r="U19" s="2677" t="s">
        <v>63</v>
      </c>
      <c r="V19" s="2103" t="s">
        <v>64</v>
      </c>
      <c r="W19" s="2109">
        <v>0</v>
      </c>
      <c r="X19" s="198">
        <v>0</v>
      </c>
      <c r="Y19" s="198">
        <v>0</v>
      </c>
      <c r="Z19" s="2717">
        <v>20</v>
      </c>
      <c r="AA19" s="2581" t="s">
        <v>65</v>
      </c>
      <c r="AB19" s="2713">
        <v>64149</v>
      </c>
      <c r="AC19" s="2710">
        <v>64149</v>
      </c>
      <c r="AD19" s="2713">
        <v>72224</v>
      </c>
      <c r="AE19" s="2710">
        <v>72224</v>
      </c>
      <c r="AF19" s="2713">
        <v>27477</v>
      </c>
      <c r="AG19" s="2710">
        <v>27477</v>
      </c>
      <c r="AH19" s="2713">
        <v>86843</v>
      </c>
      <c r="AI19" s="2710">
        <v>86843</v>
      </c>
      <c r="AJ19" s="2713">
        <v>236429</v>
      </c>
      <c r="AK19" s="2710">
        <v>236429</v>
      </c>
      <c r="AL19" s="2713">
        <v>81384</v>
      </c>
      <c r="AM19" s="2710">
        <v>81384</v>
      </c>
      <c r="AN19" s="2647"/>
      <c r="AO19" s="2598"/>
      <c r="AP19" s="2647"/>
      <c r="AQ19" s="2598"/>
      <c r="AR19" s="2647"/>
      <c r="AS19" s="2598"/>
      <c r="AT19" s="2647"/>
      <c r="AU19" s="2598"/>
      <c r="AV19" s="2647"/>
      <c r="AW19" s="2598"/>
      <c r="AX19" s="2647"/>
      <c r="AY19" s="2598"/>
      <c r="AZ19" s="2581">
        <v>2</v>
      </c>
      <c r="BA19" s="2638">
        <f>+X19+X20+X21</f>
        <v>69900000</v>
      </c>
      <c r="BB19" s="2638">
        <v>69900000</v>
      </c>
      <c r="BC19" s="2587">
        <f>+BB19/BA19</f>
        <v>1</v>
      </c>
      <c r="BD19" s="2581" t="s">
        <v>66</v>
      </c>
      <c r="BE19" s="2581" t="s">
        <v>67</v>
      </c>
      <c r="BF19" s="2629">
        <v>42585</v>
      </c>
      <c r="BG19" s="2613">
        <v>42692</v>
      </c>
      <c r="BH19" s="2629">
        <v>42735</v>
      </c>
      <c r="BI19" s="2613">
        <v>42735</v>
      </c>
      <c r="BJ19" s="2678" t="s">
        <v>68</v>
      </c>
    </row>
    <row r="20" spans="1:62" s="130" customFormat="1" ht="54.75" customHeight="1" x14ac:dyDescent="0.2">
      <c r="A20" s="2708"/>
      <c r="B20" s="2723"/>
      <c r="C20" s="2723"/>
      <c r="D20" s="2723"/>
      <c r="E20" s="2723"/>
      <c r="F20" s="2723"/>
      <c r="G20" s="2723"/>
      <c r="H20" s="2723"/>
      <c r="I20" s="2723"/>
      <c r="J20" s="2683"/>
      <c r="K20" s="2677"/>
      <c r="L20" s="2683"/>
      <c r="M20" s="2683"/>
      <c r="N20" s="2673"/>
      <c r="O20" s="2601"/>
      <c r="P20" s="2582"/>
      <c r="Q20" s="2677"/>
      <c r="R20" s="2683"/>
      <c r="S20" s="2637"/>
      <c r="T20" s="2716"/>
      <c r="U20" s="2677"/>
      <c r="V20" s="2103" t="s">
        <v>69</v>
      </c>
      <c r="W20" s="2109">
        <v>0</v>
      </c>
      <c r="X20" s="198">
        <v>0</v>
      </c>
      <c r="Y20" s="198">
        <v>0</v>
      </c>
      <c r="Z20" s="2718"/>
      <c r="AA20" s="2582"/>
      <c r="AB20" s="2714"/>
      <c r="AC20" s="2711"/>
      <c r="AD20" s="2714"/>
      <c r="AE20" s="2711"/>
      <c r="AF20" s="2714"/>
      <c r="AG20" s="2711"/>
      <c r="AH20" s="2714"/>
      <c r="AI20" s="2711"/>
      <c r="AJ20" s="2714"/>
      <c r="AK20" s="2711"/>
      <c r="AL20" s="2714"/>
      <c r="AM20" s="2711"/>
      <c r="AN20" s="2648"/>
      <c r="AO20" s="2599"/>
      <c r="AP20" s="2648"/>
      <c r="AQ20" s="2599"/>
      <c r="AR20" s="2648"/>
      <c r="AS20" s="2599"/>
      <c r="AT20" s="2648"/>
      <c r="AU20" s="2599"/>
      <c r="AV20" s="2648"/>
      <c r="AW20" s="2599"/>
      <c r="AX20" s="2648"/>
      <c r="AY20" s="2599"/>
      <c r="AZ20" s="2582"/>
      <c r="BA20" s="2582"/>
      <c r="BB20" s="2639"/>
      <c r="BC20" s="2588"/>
      <c r="BD20" s="2582"/>
      <c r="BE20" s="2582"/>
      <c r="BF20" s="2630"/>
      <c r="BG20" s="2614"/>
      <c r="BH20" s="2630"/>
      <c r="BI20" s="2614"/>
      <c r="BJ20" s="2678"/>
    </row>
    <row r="21" spans="1:62" s="130" customFormat="1" ht="75" customHeight="1" x14ac:dyDescent="0.2">
      <c r="A21" s="2708"/>
      <c r="B21" s="2723"/>
      <c r="C21" s="2723"/>
      <c r="D21" s="2723"/>
      <c r="E21" s="2723"/>
      <c r="F21" s="2723"/>
      <c r="G21" s="2723"/>
      <c r="H21" s="2723"/>
      <c r="I21" s="2723"/>
      <c r="J21" s="2683"/>
      <c r="K21" s="2677"/>
      <c r="L21" s="2683"/>
      <c r="M21" s="2683"/>
      <c r="N21" s="2674"/>
      <c r="O21" s="2636"/>
      <c r="P21" s="2583"/>
      <c r="Q21" s="2677"/>
      <c r="R21" s="2683"/>
      <c r="S21" s="2637"/>
      <c r="T21" s="2716"/>
      <c r="U21" s="2677"/>
      <c r="V21" s="2103" t="s">
        <v>70</v>
      </c>
      <c r="W21" s="2109">
        <v>70000000</v>
      </c>
      <c r="X21" s="198">
        <v>69900000</v>
      </c>
      <c r="Y21" s="198">
        <v>69900000</v>
      </c>
      <c r="Z21" s="2719"/>
      <c r="AA21" s="2583"/>
      <c r="AB21" s="2715"/>
      <c r="AC21" s="2712"/>
      <c r="AD21" s="2715"/>
      <c r="AE21" s="2712"/>
      <c r="AF21" s="2715"/>
      <c r="AG21" s="2712"/>
      <c r="AH21" s="2715"/>
      <c r="AI21" s="2712"/>
      <c r="AJ21" s="2715"/>
      <c r="AK21" s="2712"/>
      <c r="AL21" s="2715"/>
      <c r="AM21" s="2712"/>
      <c r="AN21" s="2649"/>
      <c r="AO21" s="2650"/>
      <c r="AP21" s="2649"/>
      <c r="AQ21" s="2650"/>
      <c r="AR21" s="2649"/>
      <c r="AS21" s="2650"/>
      <c r="AT21" s="2649"/>
      <c r="AU21" s="2650"/>
      <c r="AV21" s="2649"/>
      <c r="AW21" s="2650"/>
      <c r="AX21" s="2649"/>
      <c r="AY21" s="2650"/>
      <c r="AZ21" s="2582"/>
      <c r="BA21" s="2583"/>
      <c r="BB21" s="2640"/>
      <c r="BC21" s="2589"/>
      <c r="BD21" s="2583"/>
      <c r="BE21" s="2583"/>
      <c r="BF21" s="2631"/>
      <c r="BG21" s="2632"/>
      <c r="BH21" s="2631"/>
      <c r="BI21" s="2632"/>
      <c r="BJ21" s="2678"/>
    </row>
    <row r="22" spans="1:62" s="127" customFormat="1" ht="63" customHeight="1" x14ac:dyDescent="0.2">
      <c r="A22" s="2708"/>
      <c r="B22" s="2723"/>
      <c r="C22" s="2723"/>
      <c r="D22" s="2723"/>
      <c r="E22" s="2723"/>
      <c r="F22" s="2723"/>
      <c r="G22" s="2723"/>
      <c r="H22" s="2723"/>
      <c r="I22" s="2723"/>
      <c r="J22" s="2683">
        <v>283</v>
      </c>
      <c r="K22" s="2677" t="s">
        <v>71</v>
      </c>
      <c r="L22" s="2703" t="s">
        <v>59</v>
      </c>
      <c r="M22" s="2703">
        <v>1</v>
      </c>
      <c r="N22" s="2704">
        <v>0.95</v>
      </c>
      <c r="O22" s="2707" t="s">
        <v>72</v>
      </c>
      <c r="P22" s="2644">
        <v>2</v>
      </c>
      <c r="Q22" s="2677" t="s">
        <v>73</v>
      </c>
      <c r="R22" s="2699">
        <v>1</v>
      </c>
      <c r="S22" s="2637">
        <v>128268225</v>
      </c>
      <c r="T22" s="2682" t="s">
        <v>74</v>
      </c>
      <c r="U22" s="2123" t="s">
        <v>75</v>
      </c>
      <c r="V22" s="2123" t="s">
        <v>76</v>
      </c>
      <c r="W22" s="2296">
        <v>100000000</v>
      </c>
      <c r="X22" s="2295">
        <v>89724476</v>
      </c>
      <c r="Y22" s="2295">
        <v>89724476</v>
      </c>
      <c r="Z22" s="2700">
        <v>20</v>
      </c>
      <c r="AA22" s="2644" t="s">
        <v>65</v>
      </c>
      <c r="AB22" s="2690"/>
      <c r="AC22" s="2684"/>
      <c r="AD22" s="2690"/>
      <c r="AE22" s="2684"/>
      <c r="AF22" s="2690"/>
      <c r="AG22" s="2684"/>
      <c r="AH22" s="2696">
        <v>450</v>
      </c>
      <c r="AI22" s="2693">
        <v>150</v>
      </c>
      <c r="AJ22" s="2696">
        <v>500</v>
      </c>
      <c r="AK22" s="2693">
        <v>200</v>
      </c>
      <c r="AL22" s="2696">
        <v>50</v>
      </c>
      <c r="AM22" s="2693">
        <v>30</v>
      </c>
      <c r="AN22" s="2690"/>
      <c r="AO22" s="2684"/>
      <c r="AP22" s="2690"/>
      <c r="AQ22" s="2684"/>
      <c r="AR22" s="2690"/>
      <c r="AS22" s="2684"/>
      <c r="AT22" s="2690"/>
      <c r="AU22" s="2684"/>
      <c r="AV22" s="2690"/>
      <c r="AW22" s="2684"/>
      <c r="AX22" s="2690"/>
      <c r="AY22" s="2684"/>
      <c r="AZ22" s="2581">
        <v>4</v>
      </c>
      <c r="BA22" s="2584">
        <v>97220070</v>
      </c>
      <c r="BB22" s="2584">
        <v>97220070</v>
      </c>
      <c r="BC22" s="2587">
        <f>+BB22/BA22</f>
        <v>1</v>
      </c>
      <c r="BD22" s="2581" t="s">
        <v>66</v>
      </c>
      <c r="BE22" s="2581" t="s">
        <v>77</v>
      </c>
      <c r="BF22" s="2687">
        <v>42585</v>
      </c>
      <c r="BG22" s="2578">
        <v>42655</v>
      </c>
      <c r="BH22" s="2687">
        <v>42735</v>
      </c>
      <c r="BI22" s="2578">
        <v>42735</v>
      </c>
      <c r="BJ22" s="2679" t="s">
        <v>68</v>
      </c>
    </row>
    <row r="23" spans="1:62" s="127" customFormat="1" ht="89.25" customHeight="1" x14ac:dyDescent="0.2">
      <c r="A23" s="2708"/>
      <c r="B23" s="2723"/>
      <c r="C23" s="2723"/>
      <c r="D23" s="2723"/>
      <c r="E23" s="2723"/>
      <c r="F23" s="2723"/>
      <c r="G23" s="2723"/>
      <c r="H23" s="2723"/>
      <c r="I23" s="2723"/>
      <c r="J23" s="2683"/>
      <c r="K23" s="2677"/>
      <c r="L23" s="2703"/>
      <c r="M23" s="2703"/>
      <c r="N23" s="2705"/>
      <c r="O23" s="2708"/>
      <c r="P23" s="2645"/>
      <c r="Q23" s="2677"/>
      <c r="R23" s="2699"/>
      <c r="S23" s="2637"/>
      <c r="T23" s="2682"/>
      <c r="U23" s="2682" t="s">
        <v>78</v>
      </c>
      <c r="V23" s="2103" t="s">
        <v>79</v>
      </c>
      <c r="W23" s="2296">
        <v>100000</v>
      </c>
      <c r="X23" s="2295">
        <v>0</v>
      </c>
      <c r="Y23" s="2295">
        <v>0</v>
      </c>
      <c r="Z23" s="2701"/>
      <c r="AA23" s="2645"/>
      <c r="AB23" s="2691"/>
      <c r="AC23" s="2685"/>
      <c r="AD23" s="2691"/>
      <c r="AE23" s="2685"/>
      <c r="AF23" s="2691"/>
      <c r="AG23" s="2685"/>
      <c r="AH23" s="2697"/>
      <c r="AI23" s="2694"/>
      <c r="AJ23" s="2697"/>
      <c r="AK23" s="2694"/>
      <c r="AL23" s="2697"/>
      <c r="AM23" s="2694"/>
      <c r="AN23" s="2691"/>
      <c r="AO23" s="2685"/>
      <c r="AP23" s="2691"/>
      <c r="AQ23" s="2685"/>
      <c r="AR23" s="2691"/>
      <c r="AS23" s="2685"/>
      <c r="AT23" s="2691"/>
      <c r="AU23" s="2685"/>
      <c r="AV23" s="2691"/>
      <c r="AW23" s="2685"/>
      <c r="AX23" s="2691"/>
      <c r="AY23" s="2685"/>
      <c r="AZ23" s="2582"/>
      <c r="BA23" s="2585"/>
      <c r="BB23" s="2585"/>
      <c r="BC23" s="2588"/>
      <c r="BD23" s="2582"/>
      <c r="BE23" s="2582"/>
      <c r="BF23" s="2688"/>
      <c r="BG23" s="2579"/>
      <c r="BH23" s="2688"/>
      <c r="BI23" s="2579"/>
      <c r="BJ23" s="2680"/>
    </row>
    <row r="24" spans="1:62" s="127" customFormat="1" ht="57" x14ac:dyDescent="0.2">
      <c r="A24" s="2708"/>
      <c r="B24" s="2723"/>
      <c r="C24" s="2723"/>
      <c r="D24" s="2723"/>
      <c r="E24" s="2723"/>
      <c r="F24" s="2723"/>
      <c r="G24" s="2723"/>
      <c r="H24" s="2723"/>
      <c r="I24" s="2723"/>
      <c r="J24" s="2683"/>
      <c r="K24" s="2677"/>
      <c r="L24" s="2703"/>
      <c r="M24" s="2703"/>
      <c r="N24" s="2705"/>
      <c r="O24" s="2708"/>
      <c r="P24" s="2645"/>
      <c r="Q24" s="2677"/>
      <c r="R24" s="2699"/>
      <c r="S24" s="2637"/>
      <c r="T24" s="2682"/>
      <c r="U24" s="2682"/>
      <c r="V24" s="2103" t="s">
        <v>80</v>
      </c>
      <c r="W24" s="2296">
        <v>12400000</v>
      </c>
      <c r="X24" s="2295">
        <v>0</v>
      </c>
      <c r="Y24" s="2295">
        <v>0</v>
      </c>
      <c r="Z24" s="2701"/>
      <c r="AA24" s="2645"/>
      <c r="AB24" s="2691"/>
      <c r="AC24" s="2685"/>
      <c r="AD24" s="2691"/>
      <c r="AE24" s="2685"/>
      <c r="AF24" s="2691"/>
      <c r="AG24" s="2685"/>
      <c r="AH24" s="2697"/>
      <c r="AI24" s="2694"/>
      <c r="AJ24" s="2697"/>
      <c r="AK24" s="2694"/>
      <c r="AL24" s="2697"/>
      <c r="AM24" s="2694"/>
      <c r="AN24" s="2691"/>
      <c r="AO24" s="2685"/>
      <c r="AP24" s="2691"/>
      <c r="AQ24" s="2685"/>
      <c r="AR24" s="2691"/>
      <c r="AS24" s="2685"/>
      <c r="AT24" s="2691"/>
      <c r="AU24" s="2685"/>
      <c r="AV24" s="2691"/>
      <c r="AW24" s="2685"/>
      <c r="AX24" s="2691"/>
      <c r="AY24" s="2685"/>
      <c r="AZ24" s="2582"/>
      <c r="BA24" s="2585"/>
      <c r="BB24" s="2585"/>
      <c r="BC24" s="2588"/>
      <c r="BD24" s="2582"/>
      <c r="BE24" s="2582"/>
      <c r="BF24" s="2688"/>
      <c r="BG24" s="2579"/>
      <c r="BH24" s="2688"/>
      <c r="BI24" s="2579"/>
      <c r="BJ24" s="2680"/>
    </row>
    <row r="25" spans="1:62" s="127" customFormat="1" ht="42.75" x14ac:dyDescent="0.2">
      <c r="A25" s="2708"/>
      <c r="B25" s="2723"/>
      <c r="C25" s="2723"/>
      <c r="D25" s="2723"/>
      <c r="E25" s="2723"/>
      <c r="F25" s="2723"/>
      <c r="G25" s="2723"/>
      <c r="H25" s="2723"/>
      <c r="I25" s="2723"/>
      <c r="J25" s="2683"/>
      <c r="K25" s="2677"/>
      <c r="L25" s="2703"/>
      <c r="M25" s="2703"/>
      <c r="N25" s="2706"/>
      <c r="O25" s="2709"/>
      <c r="P25" s="2646"/>
      <c r="Q25" s="2677"/>
      <c r="R25" s="2699"/>
      <c r="S25" s="2637"/>
      <c r="T25" s="2682"/>
      <c r="U25" s="2123" t="s">
        <v>81</v>
      </c>
      <c r="V25" s="2123" t="s">
        <v>82</v>
      </c>
      <c r="W25" s="2296">
        <v>15768225</v>
      </c>
      <c r="X25" s="2295">
        <v>7495594</v>
      </c>
      <c r="Y25" s="2295">
        <v>7495594</v>
      </c>
      <c r="Z25" s="2702"/>
      <c r="AA25" s="2646"/>
      <c r="AB25" s="2692"/>
      <c r="AC25" s="2686"/>
      <c r="AD25" s="2692"/>
      <c r="AE25" s="2686"/>
      <c r="AF25" s="2692"/>
      <c r="AG25" s="2686"/>
      <c r="AH25" s="2698"/>
      <c r="AI25" s="2695"/>
      <c r="AJ25" s="2698"/>
      <c r="AK25" s="2695"/>
      <c r="AL25" s="2698"/>
      <c r="AM25" s="2695"/>
      <c r="AN25" s="2692"/>
      <c r="AO25" s="2686"/>
      <c r="AP25" s="2692"/>
      <c r="AQ25" s="2686"/>
      <c r="AR25" s="2692"/>
      <c r="AS25" s="2686"/>
      <c r="AT25" s="2692"/>
      <c r="AU25" s="2686"/>
      <c r="AV25" s="2692"/>
      <c r="AW25" s="2686"/>
      <c r="AX25" s="2692"/>
      <c r="AY25" s="2686"/>
      <c r="AZ25" s="2583"/>
      <c r="BA25" s="2586"/>
      <c r="BB25" s="2586"/>
      <c r="BC25" s="2589"/>
      <c r="BD25" s="2583"/>
      <c r="BE25" s="2583"/>
      <c r="BF25" s="2689"/>
      <c r="BG25" s="2580"/>
      <c r="BH25" s="2689"/>
      <c r="BI25" s="2580"/>
      <c r="BJ25" s="2681"/>
    </row>
    <row r="26" spans="1:62" s="130" customFormat="1" ht="28.5" x14ac:dyDescent="0.2">
      <c r="A26" s="2708"/>
      <c r="B26" s="2723"/>
      <c r="C26" s="2723"/>
      <c r="D26" s="2723"/>
      <c r="E26" s="2723"/>
      <c r="F26" s="2723"/>
      <c r="G26" s="2723"/>
      <c r="H26" s="2723"/>
      <c r="I26" s="2723"/>
      <c r="J26" s="2683">
        <v>284</v>
      </c>
      <c r="K26" s="2677" t="s">
        <v>83</v>
      </c>
      <c r="L26" s="2683" t="s">
        <v>59</v>
      </c>
      <c r="M26" s="2683">
        <v>1</v>
      </c>
      <c r="N26" s="2672">
        <v>1</v>
      </c>
      <c r="O26" s="2600" t="s">
        <v>84</v>
      </c>
      <c r="P26" s="2581">
        <v>3</v>
      </c>
      <c r="Q26" s="2677" t="s">
        <v>85</v>
      </c>
      <c r="R26" s="2676">
        <v>1</v>
      </c>
      <c r="S26" s="2637">
        <v>42471099</v>
      </c>
      <c r="T26" s="2677" t="s">
        <v>86</v>
      </c>
      <c r="U26" s="2666" t="s">
        <v>87</v>
      </c>
      <c r="V26" s="2103" t="s">
        <v>88</v>
      </c>
      <c r="W26" s="2109">
        <v>0</v>
      </c>
      <c r="X26" s="198">
        <v>0</v>
      </c>
      <c r="Y26" s="198">
        <v>0</v>
      </c>
      <c r="Z26" s="2663">
        <v>20</v>
      </c>
      <c r="AA26" s="2581" t="s">
        <v>65</v>
      </c>
      <c r="AB26" s="2651">
        <v>64149</v>
      </c>
      <c r="AC26" s="2654">
        <f>+AB26*$BC$26</f>
        <v>64149</v>
      </c>
      <c r="AD26" s="2675">
        <v>72224</v>
      </c>
      <c r="AE26" s="2654">
        <f>+AD26*$BC$26</f>
        <v>72224</v>
      </c>
      <c r="AF26" s="2651">
        <v>27477</v>
      </c>
      <c r="AG26" s="2654">
        <f>+AF26*$BC$26</f>
        <v>27477</v>
      </c>
      <c r="AH26" s="2651">
        <v>86843</v>
      </c>
      <c r="AI26" s="2654">
        <f>+AH26*$BC$26</f>
        <v>86843</v>
      </c>
      <c r="AJ26" s="2651">
        <v>236429</v>
      </c>
      <c r="AK26" s="2654">
        <f>+AJ26*$BC$26</f>
        <v>236429</v>
      </c>
      <c r="AL26" s="2651">
        <v>81384</v>
      </c>
      <c r="AM26" s="2654">
        <f>+AL26*$BC$26</f>
        <v>81384</v>
      </c>
      <c r="AN26" s="2647"/>
      <c r="AO26" s="2598"/>
      <c r="AP26" s="2647"/>
      <c r="AQ26" s="2598"/>
      <c r="AR26" s="2647"/>
      <c r="AS26" s="2598"/>
      <c r="AT26" s="2647"/>
      <c r="AU26" s="2598"/>
      <c r="AV26" s="2647"/>
      <c r="AW26" s="2598"/>
      <c r="AX26" s="2647"/>
      <c r="AY26" s="2598"/>
      <c r="AZ26" s="2581">
        <v>2</v>
      </c>
      <c r="BA26" s="2638">
        <v>91710005</v>
      </c>
      <c r="BB26" s="2638">
        <v>91710005</v>
      </c>
      <c r="BC26" s="2641">
        <f>+BB26/BA26</f>
        <v>1</v>
      </c>
      <c r="BD26" s="2644" t="s">
        <v>66</v>
      </c>
      <c r="BE26" s="2581" t="s">
        <v>89</v>
      </c>
      <c r="BF26" s="2629">
        <v>42373</v>
      </c>
      <c r="BG26" s="2613">
        <v>42473</v>
      </c>
      <c r="BH26" s="2629">
        <v>42735</v>
      </c>
      <c r="BI26" s="2613">
        <v>42735</v>
      </c>
      <c r="BJ26" s="2678" t="s">
        <v>68</v>
      </c>
    </row>
    <row r="27" spans="1:62" s="130" customFormat="1" ht="78" customHeight="1" x14ac:dyDescent="0.2">
      <c r="A27" s="2708"/>
      <c r="B27" s="2723"/>
      <c r="C27" s="2723"/>
      <c r="D27" s="2723"/>
      <c r="E27" s="2723"/>
      <c r="F27" s="2723"/>
      <c r="G27" s="2723"/>
      <c r="H27" s="2723"/>
      <c r="I27" s="2723"/>
      <c r="J27" s="2683"/>
      <c r="K27" s="2677"/>
      <c r="L27" s="2683"/>
      <c r="M27" s="2683"/>
      <c r="N27" s="2673"/>
      <c r="O27" s="2601"/>
      <c r="P27" s="2582"/>
      <c r="Q27" s="2677"/>
      <c r="R27" s="2676"/>
      <c r="S27" s="2637"/>
      <c r="T27" s="2677"/>
      <c r="U27" s="2668"/>
      <c r="V27" s="2103" t="s">
        <v>64</v>
      </c>
      <c r="W27" s="2109">
        <v>92471099</v>
      </c>
      <c r="X27" s="198">
        <f>49238906+42471099</f>
        <v>91710005</v>
      </c>
      <c r="Y27" s="198">
        <v>42471099</v>
      </c>
      <c r="Z27" s="2664"/>
      <c r="AA27" s="2582"/>
      <c r="AB27" s="2652"/>
      <c r="AC27" s="2655"/>
      <c r="AD27" s="2652"/>
      <c r="AE27" s="2655"/>
      <c r="AF27" s="2652"/>
      <c r="AG27" s="2655"/>
      <c r="AH27" s="2652"/>
      <c r="AI27" s="2655"/>
      <c r="AJ27" s="2652"/>
      <c r="AK27" s="2655"/>
      <c r="AL27" s="2652"/>
      <c r="AM27" s="2655"/>
      <c r="AN27" s="2648"/>
      <c r="AO27" s="2599"/>
      <c r="AP27" s="2648"/>
      <c r="AQ27" s="2599"/>
      <c r="AR27" s="2648"/>
      <c r="AS27" s="2599"/>
      <c r="AT27" s="2648"/>
      <c r="AU27" s="2599"/>
      <c r="AV27" s="2648"/>
      <c r="AW27" s="2599"/>
      <c r="AX27" s="2648"/>
      <c r="AY27" s="2599"/>
      <c r="AZ27" s="2582"/>
      <c r="BA27" s="2582"/>
      <c r="BB27" s="2639"/>
      <c r="BC27" s="2642"/>
      <c r="BD27" s="2645"/>
      <c r="BE27" s="2582"/>
      <c r="BF27" s="2630"/>
      <c r="BG27" s="2614"/>
      <c r="BH27" s="2630"/>
      <c r="BI27" s="2614"/>
      <c r="BJ27" s="2678"/>
    </row>
    <row r="28" spans="1:62" s="130" customFormat="1" ht="69.75" customHeight="1" x14ac:dyDescent="0.2">
      <c r="A28" s="2708"/>
      <c r="B28" s="2723"/>
      <c r="C28" s="2723"/>
      <c r="D28" s="2723"/>
      <c r="E28" s="2723"/>
      <c r="F28" s="2723"/>
      <c r="G28" s="2723"/>
      <c r="H28" s="2723"/>
      <c r="I28" s="2723"/>
      <c r="J28" s="2683"/>
      <c r="K28" s="2677"/>
      <c r="L28" s="2683"/>
      <c r="M28" s="2683"/>
      <c r="N28" s="2673"/>
      <c r="O28" s="2600" t="s">
        <v>90</v>
      </c>
      <c r="P28" s="2582"/>
      <c r="Q28" s="2677"/>
      <c r="R28" s="2676"/>
      <c r="S28" s="2637">
        <v>50000000</v>
      </c>
      <c r="T28" s="2677"/>
      <c r="U28" s="2666" t="s">
        <v>91</v>
      </c>
      <c r="V28" s="2103" t="s">
        <v>92</v>
      </c>
      <c r="W28" s="2109">
        <v>0</v>
      </c>
      <c r="X28" s="198">
        <v>0</v>
      </c>
      <c r="Y28" s="198">
        <v>0</v>
      </c>
      <c r="Z28" s="2664"/>
      <c r="AA28" s="2582"/>
      <c r="AB28" s="2652"/>
      <c r="AC28" s="2655"/>
      <c r="AD28" s="2652"/>
      <c r="AE28" s="2655"/>
      <c r="AF28" s="2652"/>
      <c r="AG28" s="2655"/>
      <c r="AH28" s="2652"/>
      <c r="AI28" s="2655"/>
      <c r="AJ28" s="2652"/>
      <c r="AK28" s="2655"/>
      <c r="AL28" s="2652"/>
      <c r="AM28" s="2655"/>
      <c r="AN28" s="2648"/>
      <c r="AO28" s="2599"/>
      <c r="AP28" s="2648"/>
      <c r="AQ28" s="2599"/>
      <c r="AR28" s="2648"/>
      <c r="AS28" s="2599"/>
      <c r="AT28" s="2648"/>
      <c r="AU28" s="2599"/>
      <c r="AV28" s="2648"/>
      <c r="AW28" s="2599"/>
      <c r="AX28" s="2648"/>
      <c r="AY28" s="2599"/>
      <c r="AZ28" s="2582"/>
      <c r="BA28" s="2582"/>
      <c r="BB28" s="2639"/>
      <c r="BC28" s="2642"/>
      <c r="BD28" s="2645"/>
      <c r="BE28" s="2582"/>
      <c r="BF28" s="2630"/>
      <c r="BG28" s="2614"/>
      <c r="BH28" s="2630"/>
      <c r="BI28" s="2614"/>
      <c r="BJ28" s="2678"/>
    </row>
    <row r="29" spans="1:62" s="130" customFormat="1" ht="69.75" customHeight="1" x14ac:dyDescent="0.2">
      <c r="A29" s="2708"/>
      <c r="B29" s="2723"/>
      <c r="C29" s="2723"/>
      <c r="D29" s="2723"/>
      <c r="E29" s="2723"/>
      <c r="F29" s="2723"/>
      <c r="G29" s="2723"/>
      <c r="H29" s="2723"/>
      <c r="I29" s="2723"/>
      <c r="J29" s="2683"/>
      <c r="K29" s="2677"/>
      <c r="L29" s="2683"/>
      <c r="M29" s="2683"/>
      <c r="N29" s="2674"/>
      <c r="O29" s="2601"/>
      <c r="P29" s="2583"/>
      <c r="Q29" s="2677"/>
      <c r="R29" s="2676"/>
      <c r="S29" s="2637"/>
      <c r="T29" s="2677"/>
      <c r="U29" s="2668"/>
      <c r="V29" s="2103" t="s">
        <v>69</v>
      </c>
      <c r="W29" s="2109">
        <v>0</v>
      </c>
      <c r="X29" s="198">
        <v>0</v>
      </c>
      <c r="Y29" s="198">
        <v>0</v>
      </c>
      <c r="Z29" s="2665"/>
      <c r="AA29" s="2583"/>
      <c r="AB29" s="2653"/>
      <c r="AC29" s="2656"/>
      <c r="AD29" s="2653"/>
      <c r="AE29" s="2656"/>
      <c r="AF29" s="2653"/>
      <c r="AG29" s="2656"/>
      <c r="AH29" s="2653"/>
      <c r="AI29" s="2656"/>
      <c r="AJ29" s="2653"/>
      <c r="AK29" s="2656"/>
      <c r="AL29" s="2653"/>
      <c r="AM29" s="2656"/>
      <c r="AN29" s="2649"/>
      <c r="AO29" s="2650"/>
      <c r="AP29" s="2649"/>
      <c r="AQ29" s="2650"/>
      <c r="AR29" s="2649"/>
      <c r="AS29" s="2650"/>
      <c r="AT29" s="2649"/>
      <c r="AU29" s="2650"/>
      <c r="AV29" s="2649"/>
      <c r="AW29" s="2650"/>
      <c r="AX29" s="2649"/>
      <c r="AY29" s="2650"/>
      <c r="AZ29" s="2583"/>
      <c r="BA29" s="2583"/>
      <c r="BB29" s="2640"/>
      <c r="BC29" s="2643"/>
      <c r="BD29" s="2646"/>
      <c r="BE29" s="2583"/>
      <c r="BF29" s="2631"/>
      <c r="BG29" s="2632"/>
      <c r="BH29" s="2631"/>
      <c r="BI29" s="2632"/>
      <c r="BJ29" s="2678"/>
    </row>
    <row r="30" spans="1:62" s="130" customFormat="1" ht="47.25" customHeight="1" x14ac:dyDescent="0.2">
      <c r="A30" s="2708"/>
      <c r="B30" s="2723"/>
      <c r="C30" s="2723"/>
      <c r="D30" s="2723"/>
      <c r="E30" s="2723"/>
      <c r="F30" s="2723"/>
      <c r="G30" s="2723"/>
      <c r="H30" s="2723"/>
      <c r="I30" s="2723"/>
      <c r="J30" s="2581">
        <v>285</v>
      </c>
      <c r="K30" s="2666" t="s">
        <v>93</v>
      </c>
      <c r="L30" s="2581" t="s">
        <v>59</v>
      </c>
      <c r="M30" s="2581">
        <v>1</v>
      </c>
      <c r="N30" s="2672">
        <v>1</v>
      </c>
      <c r="O30" s="2600" t="s">
        <v>94</v>
      </c>
      <c r="P30" s="2581">
        <v>4</v>
      </c>
      <c r="Q30" s="2666" t="s">
        <v>95</v>
      </c>
      <c r="R30" s="2669">
        <v>1</v>
      </c>
      <c r="S30" s="2637">
        <v>113137656</v>
      </c>
      <c r="T30" s="2666" t="s">
        <v>96</v>
      </c>
      <c r="U30" s="2666" t="s">
        <v>97</v>
      </c>
      <c r="V30" s="2103" t="s">
        <v>88</v>
      </c>
      <c r="W30" s="2109">
        <v>23137656</v>
      </c>
      <c r="X30" s="2657">
        <v>113137656</v>
      </c>
      <c r="Y30" s="2660">
        <v>113137656</v>
      </c>
      <c r="Z30" s="2663">
        <v>20</v>
      </c>
      <c r="AA30" s="2581" t="s">
        <v>65</v>
      </c>
      <c r="AB30" s="2651">
        <v>64149</v>
      </c>
      <c r="AC30" s="2654">
        <f>+AB30*BC30</f>
        <v>64149</v>
      </c>
      <c r="AD30" s="2651" t="s">
        <v>98</v>
      </c>
      <c r="AE30" s="2654">
        <f>+AD30*BC30</f>
        <v>72224</v>
      </c>
      <c r="AF30" s="2651">
        <v>27477</v>
      </c>
      <c r="AG30" s="2654">
        <f>+AF30*BC30</f>
        <v>27477</v>
      </c>
      <c r="AH30" s="2651">
        <v>86843</v>
      </c>
      <c r="AI30" s="2654">
        <f>+AH30*BC30</f>
        <v>86843</v>
      </c>
      <c r="AJ30" s="2651">
        <v>236429</v>
      </c>
      <c r="AK30" s="2654">
        <f>+AJ30*BC30</f>
        <v>236429</v>
      </c>
      <c r="AL30" s="2651">
        <v>81384</v>
      </c>
      <c r="AM30" s="2654">
        <f>+AL30*BC30</f>
        <v>81384</v>
      </c>
      <c r="AN30" s="2647"/>
      <c r="AO30" s="2598"/>
      <c r="AP30" s="2647"/>
      <c r="AQ30" s="2598"/>
      <c r="AR30" s="2647"/>
      <c r="AS30" s="2598"/>
      <c r="AT30" s="2647"/>
      <c r="AU30" s="2598"/>
      <c r="AV30" s="2647"/>
      <c r="AW30" s="2598"/>
      <c r="AX30" s="2647"/>
      <c r="AY30" s="2598"/>
      <c r="AZ30" s="2581">
        <v>3</v>
      </c>
      <c r="BA30" s="2638">
        <v>118063105</v>
      </c>
      <c r="BB30" s="2638">
        <v>118063105</v>
      </c>
      <c r="BC30" s="2641">
        <f>+BB30/BA30</f>
        <v>1</v>
      </c>
      <c r="BD30" s="2644" t="s">
        <v>66</v>
      </c>
      <c r="BE30" s="2581" t="s">
        <v>67</v>
      </c>
      <c r="BF30" s="2629">
        <v>42373</v>
      </c>
      <c r="BG30" s="2613">
        <v>42424</v>
      </c>
      <c r="BH30" s="2629">
        <v>42735</v>
      </c>
      <c r="BI30" s="2613">
        <v>42735</v>
      </c>
      <c r="BJ30" s="2633" t="s">
        <v>99</v>
      </c>
    </row>
    <row r="31" spans="1:62" s="130" customFormat="1" ht="47.25" customHeight="1" x14ac:dyDescent="0.2">
      <c r="A31" s="2708"/>
      <c r="B31" s="2723"/>
      <c r="C31" s="2723"/>
      <c r="D31" s="2723"/>
      <c r="E31" s="2723"/>
      <c r="F31" s="2723"/>
      <c r="G31" s="2723"/>
      <c r="H31" s="2723"/>
      <c r="I31" s="2723"/>
      <c r="J31" s="2582"/>
      <c r="K31" s="2667"/>
      <c r="L31" s="2582"/>
      <c r="M31" s="2582"/>
      <c r="N31" s="2673"/>
      <c r="O31" s="2601"/>
      <c r="P31" s="2582"/>
      <c r="Q31" s="2667"/>
      <c r="R31" s="2670"/>
      <c r="S31" s="2637"/>
      <c r="T31" s="2667"/>
      <c r="U31" s="2667"/>
      <c r="V31" s="2103" t="s">
        <v>64</v>
      </c>
      <c r="W31" s="217">
        <v>90000000</v>
      </c>
      <c r="X31" s="2658"/>
      <c r="Y31" s="2661"/>
      <c r="Z31" s="2664"/>
      <c r="AA31" s="2582"/>
      <c r="AB31" s="2652"/>
      <c r="AC31" s="2655"/>
      <c r="AD31" s="2652"/>
      <c r="AE31" s="2655"/>
      <c r="AF31" s="2652"/>
      <c r="AG31" s="2655"/>
      <c r="AH31" s="2652"/>
      <c r="AI31" s="2655"/>
      <c r="AJ31" s="2652"/>
      <c r="AK31" s="2655"/>
      <c r="AL31" s="2652"/>
      <c r="AM31" s="2655"/>
      <c r="AN31" s="2648"/>
      <c r="AO31" s="2599"/>
      <c r="AP31" s="2648"/>
      <c r="AQ31" s="2599"/>
      <c r="AR31" s="2648"/>
      <c r="AS31" s="2599"/>
      <c r="AT31" s="2648"/>
      <c r="AU31" s="2599"/>
      <c r="AV31" s="2648"/>
      <c r="AW31" s="2599"/>
      <c r="AX31" s="2648"/>
      <c r="AY31" s="2599"/>
      <c r="AZ31" s="2582"/>
      <c r="BA31" s="2582"/>
      <c r="BB31" s="2639"/>
      <c r="BC31" s="2642"/>
      <c r="BD31" s="2645"/>
      <c r="BE31" s="2582"/>
      <c r="BF31" s="2630"/>
      <c r="BG31" s="2614"/>
      <c r="BH31" s="2630"/>
      <c r="BI31" s="2614"/>
      <c r="BJ31" s="2634"/>
    </row>
    <row r="32" spans="1:62" s="130" customFormat="1" ht="47.25" customHeight="1" x14ac:dyDescent="0.2">
      <c r="A32" s="2708"/>
      <c r="B32" s="2723"/>
      <c r="C32" s="2723"/>
      <c r="D32" s="2723"/>
      <c r="E32" s="2723"/>
      <c r="F32" s="2723"/>
      <c r="G32" s="2723"/>
      <c r="H32" s="2723"/>
      <c r="I32" s="2723"/>
      <c r="J32" s="2582"/>
      <c r="K32" s="2667"/>
      <c r="L32" s="2582"/>
      <c r="M32" s="2582"/>
      <c r="N32" s="2673"/>
      <c r="O32" s="2600" t="s">
        <v>100</v>
      </c>
      <c r="P32" s="2582"/>
      <c r="Q32" s="2667"/>
      <c r="R32" s="2670"/>
      <c r="S32" s="2637">
        <v>7500000</v>
      </c>
      <c r="T32" s="2667"/>
      <c r="U32" s="2667"/>
      <c r="V32" s="2103" t="s">
        <v>92</v>
      </c>
      <c r="W32" s="2109">
        <v>0</v>
      </c>
      <c r="X32" s="2659"/>
      <c r="Y32" s="2662"/>
      <c r="Z32" s="2664"/>
      <c r="AA32" s="2582"/>
      <c r="AB32" s="2652"/>
      <c r="AC32" s="2655"/>
      <c r="AD32" s="2652"/>
      <c r="AE32" s="2655"/>
      <c r="AF32" s="2652"/>
      <c r="AG32" s="2655"/>
      <c r="AH32" s="2652"/>
      <c r="AI32" s="2655"/>
      <c r="AJ32" s="2652"/>
      <c r="AK32" s="2655"/>
      <c r="AL32" s="2652"/>
      <c r="AM32" s="2655"/>
      <c r="AN32" s="2648"/>
      <c r="AO32" s="2599"/>
      <c r="AP32" s="2648"/>
      <c r="AQ32" s="2599"/>
      <c r="AR32" s="2648"/>
      <c r="AS32" s="2599"/>
      <c r="AT32" s="2648"/>
      <c r="AU32" s="2599"/>
      <c r="AV32" s="2648"/>
      <c r="AW32" s="2599"/>
      <c r="AX32" s="2648"/>
      <c r="AY32" s="2599"/>
      <c r="AZ32" s="2582"/>
      <c r="BA32" s="2582"/>
      <c r="BB32" s="2639"/>
      <c r="BC32" s="2642"/>
      <c r="BD32" s="2645"/>
      <c r="BE32" s="2582"/>
      <c r="BF32" s="2630"/>
      <c r="BG32" s="2614"/>
      <c r="BH32" s="2630"/>
      <c r="BI32" s="2614"/>
      <c r="BJ32" s="2634"/>
    </row>
    <row r="33" spans="1:62" s="130" customFormat="1" ht="26.25" customHeight="1" x14ac:dyDescent="0.2">
      <c r="A33" s="2708"/>
      <c r="B33" s="2723"/>
      <c r="C33" s="2723"/>
      <c r="D33" s="2723"/>
      <c r="E33" s="2723"/>
      <c r="F33" s="2723"/>
      <c r="G33" s="2723"/>
      <c r="H33" s="2723"/>
      <c r="I33" s="2723"/>
      <c r="J33" s="2583"/>
      <c r="K33" s="2668"/>
      <c r="L33" s="2583"/>
      <c r="M33" s="2583"/>
      <c r="N33" s="2674"/>
      <c r="O33" s="2636"/>
      <c r="P33" s="2583"/>
      <c r="Q33" s="2668"/>
      <c r="R33" s="2671"/>
      <c r="S33" s="2637"/>
      <c r="T33" s="2668"/>
      <c r="U33" s="2668"/>
      <c r="V33" s="2103" t="s">
        <v>69</v>
      </c>
      <c r="W33" s="2109">
        <v>7500000</v>
      </c>
      <c r="X33" s="198">
        <v>4925449</v>
      </c>
      <c r="Y33" s="198">
        <v>4925449</v>
      </c>
      <c r="Z33" s="2665"/>
      <c r="AA33" s="2583"/>
      <c r="AB33" s="2653"/>
      <c r="AC33" s="2656"/>
      <c r="AD33" s="2653"/>
      <c r="AE33" s="2656"/>
      <c r="AF33" s="2653"/>
      <c r="AG33" s="2656"/>
      <c r="AH33" s="2653"/>
      <c r="AI33" s="2656"/>
      <c r="AJ33" s="2653"/>
      <c r="AK33" s="2656"/>
      <c r="AL33" s="2653"/>
      <c r="AM33" s="2656"/>
      <c r="AN33" s="2649"/>
      <c r="AO33" s="2650"/>
      <c r="AP33" s="2649"/>
      <c r="AQ33" s="2650"/>
      <c r="AR33" s="2649"/>
      <c r="AS33" s="2650"/>
      <c r="AT33" s="2649"/>
      <c r="AU33" s="2650"/>
      <c r="AV33" s="2649"/>
      <c r="AW33" s="2650"/>
      <c r="AX33" s="2649"/>
      <c r="AY33" s="2650"/>
      <c r="AZ33" s="2583"/>
      <c r="BA33" s="2583"/>
      <c r="BB33" s="2640"/>
      <c r="BC33" s="2643"/>
      <c r="BD33" s="2646"/>
      <c r="BE33" s="2583"/>
      <c r="BF33" s="2631"/>
      <c r="BG33" s="2632"/>
      <c r="BH33" s="2631"/>
      <c r="BI33" s="2632"/>
      <c r="BJ33" s="2635"/>
    </row>
    <row r="34" spans="1:62" s="130" customFormat="1" ht="57" x14ac:dyDescent="0.2">
      <c r="A34" s="2708"/>
      <c r="B34" s="2723"/>
      <c r="C34" s="2723"/>
      <c r="D34" s="2723"/>
      <c r="E34" s="2723"/>
      <c r="F34" s="2723"/>
      <c r="G34" s="2723"/>
      <c r="H34" s="2723"/>
      <c r="I34" s="2723"/>
      <c r="J34" s="2624">
        <v>287</v>
      </c>
      <c r="K34" s="2604" t="s">
        <v>101</v>
      </c>
      <c r="L34" s="2626" t="s">
        <v>59</v>
      </c>
      <c r="M34" s="2624">
        <v>1</v>
      </c>
      <c r="N34" s="2627">
        <v>0.5</v>
      </c>
      <c r="O34" s="2600" t="s">
        <v>102</v>
      </c>
      <c r="P34" s="2600">
        <v>5</v>
      </c>
      <c r="Q34" s="2604" t="s">
        <v>103</v>
      </c>
      <c r="R34" s="2619">
        <v>1</v>
      </c>
      <c r="S34" s="2621">
        <v>131500000</v>
      </c>
      <c r="T34" s="2604" t="s">
        <v>104</v>
      </c>
      <c r="U34" s="2103" t="s">
        <v>105</v>
      </c>
      <c r="V34" s="2103" t="s">
        <v>106</v>
      </c>
      <c r="W34" s="2109">
        <v>10050000</v>
      </c>
      <c r="X34" s="198">
        <v>10050000</v>
      </c>
      <c r="Y34" s="198">
        <v>10050000</v>
      </c>
      <c r="Z34" s="2622">
        <v>20</v>
      </c>
      <c r="AA34" s="2600" t="s">
        <v>65</v>
      </c>
      <c r="AB34" s="2595">
        <v>45983</v>
      </c>
      <c r="AC34" s="2597">
        <v>45983</v>
      </c>
      <c r="AD34" s="2595" t="s">
        <v>107</v>
      </c>
      <c r="AE34" s="2597" t="s">
        <v>107</v>
      </c>
      <c r="AF34" s="2595">
        <v>46444</v>
      </c>
      <c r="AG34" s="2597">
        <v>46444</v>
      </c>
      <c r="AH34" s="2595"/>
      <c r="AI34" s="2598"/>
      <c r="AJ34" s="2595">
        <v>93752</v>
      </c>
      <c r="AK34" s="2597">
        <v>93752</v>
      </c>
      <c r="AL34" s="2595">
        <v>81384</v>
      </c>
      <c r="AM34" s="2597">
        <v>81384</v>
      </c>
      <c r="AN34" s="2595">
        <v>12278</v>
      </c>
      <c r="AO34" s="2597">
        <v>12278</v>
      </c>
      <c r="AP34" s="2596">
        <v>2145</v>
      </c>
      <c r="AQ34" s="2598">
        <v>2145</v>
      </c>
      <c r="AR34" s="2595"/>
      <c r="AS34" s="2598"/>
      <c r="AT34" s="2595"/>
      <c r="AU34" s="2598"/>
      <c r="AV34" s="2595"/>
      <c r="AW34" s="2598"/>
      <c r="AX34" s="2595">
        <v>81384</v>
      </c>
      <c r="AY34" s="2597">
        <v>81384</v>
      </c>
      <c r="AZ34" s="2600">
        <v>2</v>
      </c>
      <c r="BA34" s="2590">
        <v>41500000</v>
      </c>
      <c r="BB34" s="2590">
        <v>41500000</v>
      </c>
      <c r="BC34" s="2610">
        <f>+BB34/BA34</f>
        <v>1</v>
      </c>
      <c r="BD34" s="2600" t="s">
        <v>66</v>
      </c>
      <c r="BE34" s="2600" t="s">
        <v>108</v>
      </c>
      <c r="BF34" s="2593">
        <v>42616</v>
      </c>
      <c r="BG34" s="2613">
        <v>42636</v>
      </c>
      <c r="BH34" s="2593">
        <v>42735</v>
      </c>
      <c r="BI34" s="2613">
        <v>42735</v>
      </c>
      <c r="BJ34" s="2602" t="s">
        <v>109</v>
      </c>
    </row>
    <row r="35" spans="1:62" s="130" customFormat="1" ht="28.5" x14ac:dyDescent="0.2">
      <c r="A35" s="2708"/>
      <c r="B35" s="2723"/>
      <c r="C35" s="2723"/>
      <c r="D35" s="2723"/>
      <c r="E35" s="2723"/>
      <c r="F35" s="2723"/>
      <c r="G35" s="2723"/>
      <c r="H35" s="2723"/>
      <c r="I35" s="2723"/>
      <c r="J35" s="2624"/>
      <c r="K35" s="2604"/>
      <c r="L35" s="2626"/>
      <c r="M35" s="2624"/>
      <c r="N35" s="2628"/>
      <c r="O35" s="2601"/>
      <c r="P35" s="2601"/>
      <c r="Q35" s="2604"/>
      <c r="R35" s="2619"/>
      <c r="S35" s="2621"/>
      <c r="T35" s="2604"/>
      <c r="U35" s="2604" t="s">
        <v>110</v>
      </c>
      <c r="V35" s="2103" t="s">
        <v>111</v>
      </c>
      <c r="W35" s="2109">
        <v>5275000</v>
      </c>
      <c r="X35" s="198">
        <v>5275000</v>
      </c>
      <c r="Y35" s="198">
        <v>5275000</v>
      </c>
      <c r="Z35" s="2623"/>
      <c r="AA35" s="2601"/>
      <c r="AB35" s="2595"/>
      <c r="AC35" s="2597"/>
      <c r="AD35" s="2595"/>
      <c r="AE35" s="2597"/>
      <c r="AF35" s="2595"/>
      <c r="AG35" s="2597"/>
      <c r="AH35" s="2595"/>
      <c r="AI35" s="2599"/>
      <c r="AJ35" s="2595"/>
      <c r="AK35" s="2597"/>
      <c r="AL35" s="2595"/>
      <c r="AM35" s="2597"/>
      <c r="AN35" s="2595"/>
      <c r="AO35" s="2597"/>
      <c r="AP35" s="2616"/>
      <c r="AQ35" s="2599"/>
      <c r="AR35" s="2595"/>
      <c r="AS35" s="2599"/>
      <c r="AT35" s="2595"/>
      <c r="AU35" s="2599"/>
      <c r="AV35" s="2595"/>
      <c r="AW35" s="2599"/>
      <c r="AX35" s="2595"/>
      <c r="AY35" s="2597"/>
      <c r="AZ35" s="2601"/>
      <c r="BA35" s="2591"/>
      <c r="BB35" s="2591"/>
      <c r="BC35" s="2611"/>
      <c r="BD35" s="2601"/>
      <c r="BE35" s="2601"/>
      <c r="BF35" s="2594"/>
      <c r="BG35" s="2614"/>
      <c r="BH35" s="2594"/>
      <c r="BI35" s="2614"/>
      <c r="BJ35" s="2603"/>
    </row>
    <row r="36" spans="1:62" s="130" customFormat="1" ht="28.5" x14ac:dyDescent="0.2">
      <c r="A36" s="2708"/>
      <c r="B36" s="2723"/>
      <c r="C36" s="2723"/>
      <c r="D36" s="2723"/>
      <c r="E36" s="2723"/>
      <c r="F36" s="2723"/>
      <c r="G36" s="2723"/>
      <c r="H36" s="2723"/>
      <c r="I36" s="2723"/>
      <c r="J36" s="2624"/>
      <c r="K36" s="2604"/>
      <c r="L36" s="2626"/>
      <c r="M36" s="2624"/>
      <c r="N36" s="2628"/>
      <c r="O36" s="2601"/>
      <c r="P36" s="2601"/>
      <c r="Q36" s="2604"/>
      <c r="R36" s="2619"/>
      <c r="S36" s="2621"/>
      <c r="T36" s="2604"/>
      <c r="U36" s="2604"/>
      <c r="V36" s="2103" t="s">
        <v>112</v>
      </c>
      <c r="W36" s="2109">
        <v>5025000</v>
      </c>
      <c r="X36" s="198">
        <v>5025000</v>
      </c>
      <c r="Y36" s="198">
        <v>5025000</v>
      </c>
      <c r="Z36" s="2623"/>
      <c r="AA36" s="2601"/>
      <c r="AB36" s="2595"/>
      <c r="AC36" s="2597"/>
      <c r="AD36" s="2595"/>
      <c r="AE36" s="2597"/>
      <c r="AF36" s="2595"/>
      <c r="AG36" s="2597"/>
      <c r="AH36" s="2595"/>
      <c r="AI36" s="2599"/>
      <c r="AJ36" s="2595"/>
      <c r="AK36" s="2597"/>
      <c r="AL36" s="2595"/>
      <c r="AM36" s="2597"/>
      <c r="AN36" s="2595"/>
      <c r="AO36" s="2597"/>
      <c r="AP36" s="2616"/>
      <c r="AQ36" s="2599"/>
      <c r="AR36" s="2595"/>
      <c r="AS36" s="2599"/>
      <c r="AT36" s="2595"/>
      <c r="AU36" s="2599"/>
      <c r="AV36" s="2595"/>
      <c r="AW36" s="2599"/>
      <c r="AX36" s="2595"/>
      <c r="AY36" s="2597"/>
      <c r="AZ36" s="2601"/>
      <c r="BA36" s="2591"/>
      <c r="BB36" s="2591"/>
      <c r="BC36" s="2611"/>
      <c r="BD36" s="2601"/>
      <c r="BE36" s="2601"/>
      <c r="BF36" s="2594"/>
      <c r="BG36" s="2614"/>
      <c r="BH36" s="2594"/>
      <c r="BI36" s="2614"/>
      <c r="BJ36" s="2603"/>
    </row>
    <row r="37" spans="1:62" s="130" customFormat="1" ht="28.5" x14ac:dyDescent="0.2">
      <c r="A37" s="2708"/>
      <c r="B37" s="2723"/>
      <c r="C37" s="2723"/>
      <c r="D37" s="2723"/>
      <c r="E37" s="2723"/>
      <c r="F37" s="2723"/>
      <c r="G37" s="2723"/>
      <c r="H37" s="2723"/>
      <c r="I37" s="2723"/>
      <c r="J37" s="2624"/>
      <c r="K37" s="2604"/>
      <c r="L37" s="2626"/>
      <c r="M37" s="2624"/>
      <c r="N37" s="2628"/>
      <c r="O37" s="2601"/>
      <c r="P37" s="2601"/>
      <c r="Q37" s="2604"/>
      <c r="R37" s="2619"/>
      <c r="S37" s="2621"/>
      <c r="T37" s="2604"/>
      <c r="U37" s="2604"/>
      <c r="V37" s="2103" t="s">
        <v>113</v>
      </c>
      <c r="W37" s="2109">
        <v>5025000</v>
      </c>
      <c r="X37" s="198">
        <v>5025000</v>
      </c>
      <c r="Y37" s="198">
        <v>5025000</v>
      </c>
      <c r="Z37" s="2623"/>
      <c r="AA37" s="2601"/>
      <c r="AB37" s="2595"/>
      <c r="AC37" s="2597"/>
      <c r="AD37" s="2595"/>
      <c r="AE37" s="2597"/>
      <c r="AF37" s="2595"/>
      <c r="AG37" s="2597"/>
      <c r="AH37" s="2595"/>
      <c r="AI37" s="2599"/>
      <c r="AJ37" s="2595"/>
      <c r="AK37" s="2597"/>
      <c r="AL37" s="2595"/>
      <c r="AM37" s="2597"/>
      <c r="AN37" s="2595"/>
      <c r="AO37" s="2597"/>
      <c r="AP37" s="2616"/>
      <c r="AQ37" s="2599"/>
      <c r="AR37" s="2595"/>
      <c r="AS37" s="2599"/>
      <c r="AT37" s="2595"/>
      <c r="AU37" s="2599"/>
      <c r="AV37" s="2595"/>
      <c r="AW37" s="2599"/>
      <c r="AX37" s="2595"/>
      <c r="AY37" s="2597"/>
      <c r="AZ37" s="2601"/>
      <c r="BA37" s="2591"/>
      <c r="BB37" s="2591"/>
      <c r="BC37" s="2611"/>
      <c r="BD37" s="2601"/>
      <c r="BE37" s="2601"/>
      <c r="BF37" s="2594"/>
      <c r="BG37" s="2614"/>
      <c r="BH37" s="2594"/>
      <c r="BI37" s="2614"/>
      <c r="BJ37" s="2603"/>
    </row>
    <row r="38" spans="1:62" s="130" customFormat="1" ht="28.5" x14ac:dyDescent="0.2">
      <c r="A38" s="2708"/>
      <c r="B38" s="2723"/>
      <c r="C38" s="2723"/>
      <c r="D38" s="2723"/>
      <c r="E38" s="2723"/>
      <c r="F38" s="2723"/>
      <c r="G38" s="2723"/>
      <c r="H38" s="2723"/>
      <c r="I38" s="2723"/>
      <c r="J38" s="2624"/>
      <c r="K38" s="2604"/>
      <c r="L38" s="2626"/>
      <c r="M38" s="2624"/>
      <c r="N38" s="2628"/>
      <c r="O38" s="2601"/>
      <c r="P38" s="2601"/>
      <c r="Q38" s="2604"/>
      <c r="R38" s="2619"/>
      <c r="S38" s="2621"/>
      <c r="T38" s="2604"/>
      <c r="U38" s="2604"/>
      <c r="V38" s="2103" t="s">
        <v>114</v>
      </c>
      <c r="W38" s="2109">
        <v>5025000</v>
      </c>
      <c r="X38" s="198">
        <v>5025000</v>
      </c>
      <c r="Y38" s="198">
        <v>5025000</v>
      </c>
      <c r="Z38" s="2623"/>
      <c r="AA38" s="2601"/>
      <c r="AB38" s="2595"/>
      <c r="AC38" s="2597"/>
      <c r="AD38" s="2595"/>
      <c r="AE38" s="2597"/>
      <c r="AF38" s="2595"/>
      <c r="AG38" s="2597"/>
      <c r="AH38" s="2595"/>
      <c r="AI38" s="2599"/>
      <c r="AJ38" s="2595"/>
      <c r="AK38" s="2597"/>
      <c r="AL38" s="2595"/>
      <c r="AM38" s="2597"/>
      <c r="AN38" s="2595"/>
      <c r="AO38" s="2597"/>
      <c r="AP38" s="2616"/>
      <c r="AQ38" s="2599"/>
      <c r="AR38" s="2595"/>
      <c r="AS38" s="2599"/>
      <c r="AT38" s="2595"/>
      <c r="AU38" s="2599"/>
      <c r="AV38" s="2595"/>
      <c r="AW38" s="2599"/>
      <c r="AX38" s="2595"/>
      <c r="AY38" s="2597"/>
      <c r="AZ38" s="2601"/>
      <c r="BA38" s="2591"/>
      <c r="BB38" s="2591"/>
      <c r="BC38" s="2611"/>
      <c r="BD38" s="2601"/>
      <c r="BE38" s="2601"/>
      <c r="BF38" s="2594"/>
      <c r="BG38" s="2614"/>
      <c r="BH38" s="2594"/>
      <c r="BI38" s="2614"/>
      <c r="BJ38" s="2603"/>
    </row>
    <row r="39" spans="1:62" s="130" customFormat="1" ht="28.5" x14ac:dyDescent="0.2">
      <c r="A39" s="2708"/>
      <c r="B39" s="2723"/>
      <c r="C39" s="2723"/>
      <c r="D39" s="2723"/>
      <c r="E39" s="2723"/>
      <c r="F39" s="2723"/>
      <c r="G39" s="2723"/>
      <c r="H39" s="2723"/>
      <c r="I39" s="2723"/>
      <c r="J39" s="2624"/>
      <c r="K39" s="2604"/>
      <c r="L39" s="2626"/>
      <c r="M39" s="2624"/>
      <c r="N39" s="2628"/>
      <c r="O39" s="2601"/>
      <c r="P39" s="2601"/>
      <c r="Q39" s="2604"/>
      <c r="R39" s="2619"/>
      <c r="S39" s="2621"/>
      <c r="T39" s="2604"/>
      <c r="U39" s="2604"/>
      <c r="V39" s="2103" t="s">
        <v>115</v>
      </c>
      <c r="W39" s="2109">
        <v>5025000</v>
      </c>
      <c r="X39" s="198">
        <v>600000</v>
      </c>
      <c r="Y39" s="198">
        <v>600000</v>
      </c>
      <c r="Z39" s="2623"/>
      <c r="AA39" s="2601"/>
      <c r="AB39" s="2595"/>
      <c r="AC39" s="2597"/>
      <c r="AD39" s="2595"/>
      <c r="AE39" s="2597"/>
      <c r="AF39" s="2595"/>
      <c r="AG39" s="2597"/>
      <c r="AH39" s="2595"/>
      <c r="AI39" s="2599"/>
      <c r="AJ39" s="2595"/>
      <c r="AK39" s="2597"/>
      <c r="AL39" s="2595"/>
      <c r="AM39" s="2597"/>
      <c r="AN39" s="2595"/>
      <c r="AO39" s="2597"/>
      <c r="AP39" s="2616"/>
      <c r="AQ39" s="2599"/>
      <c r="AR39" s="2595"/>
      <c r="AS39" s="2599"/>
      <c r="AT39" s="2595"/>
      <c r="AU39" s="2599"/>
      <c r="AV39" s="2595"/>
      <c r="AW39" s="2599"/>
      <c r="AX39" s="2595"/>
      <c r="AY39" s="2597"/>
      <c r="AZ39" s="2601"/>
      <c r="BA39" s="2591"/>
      <c r="BB39" s="2591"/>
      <c r="BC39" s="2611"/>
      <c r="BD39" s="2601"/>
      <c r="BE39" s="2601"/>
      <c r="BF39" s="2594"/>
      <c r="BG39" s="2614"/>
      <c r="BH39" s="2594"/>
      <c r="BI39" s="2614"/>
      <c r="BJ39" s="2603"/>
    </row>
    <row r="40" spans="1:62" s="130" customFormat="1" ht="42.75" x14ac:dyDescent="0.2">
      <c r="A40" s="2708"/>
      <c r="B40" s="2723"/>
      <c r="C40" s="2723"/>
      <c r="D40" s="2723"/>
      <c r="E40" s="2723"/>
      <c r="F40" s="2723"/>
      <c r="G40" s="2723"/>
      <c r="H40" s="2723"/>
      <c r="I40" s="2723"/>
      <c r="J40" s="2624"/>
      <c r="K40" s="2604"/>
      <c r="L40" s="2626"/>
      <c r="M40" s="2624"/>
      <c r="N40" s="2628"/>
      <c r="O40" s="2601"/>
      <c r="P40" s="2601"/>
      <c r="Q40" s="2604"/>
      <c r="R40" s="2619"/>
      <c r="S40" s="2621"/>
      <c r="T40" s="2604"/>
      <c r="U40" s="2604"/>
      <c r="V40" s="2103" t="s">
        <v>116</v>
      </c>
      <c r="W40" s="2109">
        <v>31075000</v>
      </c>
      <c r="X40" s="198">
        <v>0</v>
      </c>
      <c r="Y40" s="198"/>
      <c r="Z40" s="2623"/>
      <c r="AA40" s="2601"/>
      <c r="AB40" s="2595"/>
      <c r="AC40" s="2597"/>
      <c r="AD40" s="2595"/>
      <c r="AE40" s="2597"/>
      <c r="AF40" s="2595"/>
      <c r="AG40" s="2597"/>
      <c r="AH40" s="2595"/>
      <c r="AI40" s="2599"/>
      <c r="AJ40" s="2595"/>
      <c r="AK40" s="2597"/>
      <c r="AL40" s="2595"/>
      <c r="AM40" s="2597"/>
      <c r="AN40" s="2595"/>
      <c r="AO40" s="2597"/>
      <c r="AP40" s="2616"/>
      <c r="AQ40" s="2599"/>
      <c r="AR40" s="2595"/>
      <c r="AS40" s="2599"/>
      <c r="AT40" s="2595"/>
      <c r="AU40" s="2599"/>
      <c r="AV40" s="2595"/>
      <c r="AW40" s="2599"/>
      <c r="AX40" s="2595"/>
      <c r="AY40" s="2597"/>
      <c r="AZ40" s="2601"/>
      <c r="BA40" s="2591"/>
      <c r="BB40" s="2591"/>
      <c r="BC40" s="2611"/>
      <c r="BD40" s="2601"/>
      <c r="BE40" s="2601"/>
      <c r="BF40" s="2594"/>
      <c r="BG40" s="2614"/>
      <c r="BH40" s="2594"/>
      <c r="BI40" s="2614"/>
      <c r="BJ40" s="2603"/>
    </row>
    <row r="41" spans="1:62" s="130" customFormat="1" ht="42.75" x14ac:dyDescent="0.2">
      <c r="A41" s="2708"/>
      <c r="B41" s="2723"/>
      <c r="C41" s="2723"/>
      <c r="D41" s="2723"/>
      <c r="E41" s="2723"/>
      <c r="F41" s="2723"/>
      <c r="G41" s="2707"/>
      <c r="H41" s="2707"/>
      <c r="I41" s="2707"/>
      <c r="J41" s="2625"/>
      <c r="K41" s="2605"/>
      <c r="L41" s="2600"/>
      <c r="M41" s="2625"/>
      <c r="N41" s="2628"/>
      <c r="O41" s="2601"/>
      <c r="P41" s="2601"/>
      <c r="Q41" s="2605"/>
      <c r="R41" s="2620"/>
      <c r="S41" s="2590"/>
      <c r="T41" s="2605"/>
      <c r="U41" s="2605"/>
      <c r="V41" s="2124" t="s">
        <v>117</v>
      </c>
      <c r="W41" s="2117">
        <v>50000000</v>
      </c>
      <c r="X41" s="198">
        <v>0</v>
      </c>
      <c r="Y41" s="198"/>
      <c r="Z41" s="2623"/>
      <c r="AA41" s="2601"/>
      <c r="AB41" s="2596"/>
      <c r="AC41" s="2598"/>
      <c r="AD41" s="2596"/>
      <c r="AE41" s="2598"/>
      <c r="AF41" s="2596"/>
      <c r="AG41" s="2598"/>
      <c r="AH41" s="2596"/>
      <c r="AI41" s="2599"/>
      <c r="AJ41" s="2596"/>
      <c r="AK41" s="2598"/>
      <c r="AL41" s="2596"/>
      <c r="AM41" s="2598"/>
      <c r="AN41" s="2596"/>
      <c r="AO41" s="2598"/>
      <c r="AP41" s="2616"/>
      <c r="AQ41" s="2599"/>
      <c r="AR41" s="2596"/>
      <c r="AS41" s="2599"/>
      <c r="AT41" s="2596"/>
      <c r="AU41" s="2599"/>
      <c r="AV41" s="2596"/>
      <c r="AW41" s="2599"/>
      <c r="AX41" s="2596"/>
      <c r="AY41" s="2598"/>
      <c r="AZ41" s="2601"/>
      <c r="BA41" s="2591"/>
      <c r="BB41" s="2591"/>
      <c r="BC41" s="2611"/>
      <c r="BD41" s="2601"/>
      <c r="BE41" s="2601"/>
      <c r="BF41" s="2594"/>
      <c r="BG41" s="2614"/>
      <c r="BH41" s="2594"/>
      <c r="BI41" s="2614"/>
      <c r="BJ41" s="2603"/>
    </row>
    <row r="42" spans="1:62" s="130" customFormat="1" ht="114.75" thickBot="1" x14ac:dyDescent="0.25">
      <c r="A42" s="2708"/>
      <c r="B42" s="2707"/>
      <c r="C42" s="2707"/>
      <c r="D42" s="2707"/>
      <c r="E42" s="2707"/>
      <c r="F42" s="2723"/>
      <c r="G42" s="2707"/>
      <c r="H42" s="2707"/>
      <c r="I42" s="2707"/>
      <c r="J42" s="2625"/>
      <c r="K42" s="2605"/>
      <c r="L42" s="2600"/>
      <c r="M42" s="2625"/>
      <c r="N42" s="2628"/>
      <c r="O42" s="2601"/>
      <c r="P42" s="2601"/>
      <c r="Q42" s="2605"/>
      <c r="R42" s="2620"/>
      <c r="S42" s="2590"/>
      <c r="T42" s="2605"/>
      <c r="U42" s="2605"/>
      <c r="V42" s="2124" t="s">
        <v>118</v>
      </c>
      <c r="W42" s="2117">
        <v>15000000</v>
      </c>
      <c r="X42" s="2128">
        <v>10500000</v>
      </c>
      <c r="Y42" s="2128">
        <v>10500000</v>
      </c>
      <c r="Z42" s="2623"/>
      <c r="AA42" s="2601"/>
      <c r="AB42" s="2596"/>
      <c r="AC42" s="2598"/>
      <c r="AD42" s="2596"/>
      <c r="AE42" s="2598"/>
      <c r="AF42" s="2596"/>
      <c r="AG42" s="2598"/>
      <c r="AH42" s="2596"/>
      <c r="AI42" s="2599"/>
      <c r="AJ42" s="2596"/>
      <c r="AK42" s="2598"/>
      <c r="AL42" s="2596"/>
      <c r="AM42" s="2598"/>
      <c r="AN42" s="2596"/>
      <c r="AO42" s="2598"/>
      <c r="AP42" s="2617"/>
      <c r="AQ42" s="2618"/>
      <c r="AR42" s="2596"/>
      <c r="AS42" s="2599"/>
      <c r="AT42" s="2596"/>
      <c r="AU42" s="2599"/>
      <c r="AV42" s="2596"/>
      <c r="AW42" s="2599"/>
      <c r="AX42" s="2596"/>
      <c r="AY42" s="2598"/>
      <c r="AZ42" s="2601"/>
      <c r="BA42" s="2592"/>
      <c r="BB42" s="2592"/>
      <c r="BC42" s="2612"/>
      <c r="BD42" s="2601"/>
      <c r="BE42" s="2601"/>
      <c r="BF42" s="2594"/>
      <c r="BG42" s="2615"/>
      <c r="BH42" s="2594"/>
      <c r="BI42" s="2615"/>
      <c r="BJ42" s="2603"/>
    </row>
    <row r="43" spans="1:62" s="221" customFormat="1" ht="22.5" customHeight="1" thickBot="1" x14ac:dyDescent="0.3">
      <c r="A43" s="218"/>
      <c r="B43" s="219"/>
      <c r="C43" s="219"/>
      <c r="D43" s="219"/>
      <c r="E43" s="220"/>
      <c r="G43" s="2606" t="s">
        <v>119</v>
      </c>
      <c r="H43" s="2607"/>
      <c r="I43" s="2607"/>
      <c r="J43" s="2607"/>
      <c r="K43" s="2607"/>
      <c r="L43" s="2607"/>
      <c r="M43" s="2607"/>
      <c r="N43" s="2607"/>
      <c r="O43" s="2607"/>
      <c r="P43" s="2607"/>
      <c r="Q43" s="2607"/>
      <c r="R43" s="2608"/>
      <c r="S43" s="121">
        <f>SUM(S19:S42)</f>
        <v>542876980</v>
      </c>
      <c r="T43" s="222"/>
      <c r="U43" s="223"/>
      <c r="V43" s="224"/>
      <c r="W43" s="225">
        <f>SUM(W19:W42)</f>
        <v>542876980</v>
      </c>
      <c r="X43" s="225">
        <f>SUM(X19:X42)</f>
        <v>418393180</v>
      </c>
      <c r="Y43" s="225">
        <f>SUM(Y19:Y42)</f>
        <v>369154274</v>
      </c>
      <c r="Z43" s="226"/>
      <c r="AA43" s="131"/>
      <c r="AB43" s="219"/>
      <c r="AC43" s="227"/>
      <c r="AD43" s="219"/>
      <c r="AE43" s="227"/>
      <c r="AF43" s="219"/>
      <c r="AG43" s="227"/>
      <c r="AH43" s="219"/>
      <c r="AI43" s="227"/>
      <c r="AJ43" s="219"/>
      <c r="AK43" s="227"/>
      <c r="AL43" s="219"/>
      <c r="AM43" s="227"/>
      <c r="AN43" s="219"/>
      <c r="AO43" s="227"/>
      <c r="AP43" s="219"/>
      <c r="AQ43" s="227"/>
      <c r="AR43" s="219"/>
      <c r="AS43" s="227"/>
      <c r="AT43" s="219"/>
      <c r="AU43" s="227"/>
      <c r="AV43" s="219"/>
      <c r="AW43" s="227"/>
      <c r="AX43" s="219"/>
      <c r="AY43" s="227"/>
      <c r="AZ43" s="219"/>
      <c r="BA43" s="228">
        <f>SUM(BA19:BA42)</f>
        <v>418393180</v>
      </c>
      <c r="BB43" s="228">
        <f>SUM(BB19:BB42)</f>
        <v>418393180</v>
      </c>
      <c r="BC43" s="219"/>
      <c r="BD43" s="219"/>
      <c r="BE43" s="219"/>
      <c r="BF43" s="229"/>
      <c r="BG43" s="230"/>
      <c r="BH43" s="231"/>
      <c r="BI43" s="232"/>
      <c r="BJ43" s="233"/>
    </row>
    <row r="44" spans="1:62" s="127" customFormat="1" x14ac:dyDescent="0.2">
      <c r="N44" s="123"/>
      <c r="O44" s="4"/>
      <c r="S44" s="234"/>
      <c r="T44" s="130"/>
      <c r="U44" s="130"/>
      <c r="V44" s="130"/>
      <c r="W44" s="235"/>
      <c r="X44" s="164"/>
      <c r="Y44" s="164"/>
      <c r="Z44" s="130"/>
      <c r="AC44" s="123"/>
      <c r="AE44" s="123"/>
      <c r="AG44" s="123"/>
      <c r="AI44" s="123"/>
      <c r="AK44" s="123"/>
      <c r="AM44" s="123"/>
      <c r="AO44" s="123"/>
      <c r="AQ44" s="123"/>
      <c r="AS44" s="123"/>
      <c r="AU44" s="123"/>
      <c r="AW44" s="123"/>
      <c r="AY44" s="123"/>
      <c r="BB44" s="253"/>
      <c r="BF44" s="129"/>
      <c r="BG44" s="236"/>
      <c r="BH44" s="129"/>
      <c r="BI44" s="236"/>
    </row>
    <row r="45" spans="1:62" ht="15" x14ac:dyDescent="0.25">
      <c r="S45" s="255"/>
      <c r="W45" s="1902"/>
      <c r="X45" s="1902"/>
      <c r="Y45" s="1902"/>
    </row>
    <row r="46" spans="1:62" x14ac:dyDescent="0.2">
      <c r="S46" s="1"/>
      <c r="W46" s="2141"/>
    </row>
    <row r="47" spans="1:62" x14ac:dyDescent="0.2">
      <c r="V47" s="237"/>
      <c r="W47" s="254"/>
      <c r="X47" s="254"/>
      <c r="Y47" s="254"/>
    </row>
    <row r="49" spans="13:16" ht="15" x14ac:dyDescent="0.2">
      <c r="M49" s="2609" t="s">
        <v>108</v>
      </c>
      <c r="N49" s="2609"/>
      <c r="O49" s="2609"/>
      <c r="P49" s="2609"/>
    </row>
    <row r="50" spans="13:16" x14ac:dyDescent="0.2">
      <c r="M50" s="2577" t="s">
        <v>120</v>
      </c>
      <c r="N50" s="2577"/>
      <c r="O50" s="2577"/>
      <c r="P50" s="2577"/>
    </row>
  </sheetData>
  <sheetProtection algorithmName="SHA-512" hashValue="Y0Me2uMhqvKHIAE2CF7fzidimUdegvPYKzr6UzIsj6nJdHDqX7Qm7tYiVugTMVE6eLyLGjSttibKGrO1SPkP1A==" saltValue="2gNsNov7mwneKvKaIj28oA==" spinCount="100000" sheet="1" objects="1" scenarios="1"/>
  <mergeCells count="312">
    <mergeCell ref="H7:I15"/>
    <mergeCell ref="AA7:AA15"/>
    <mergeCell ref="AB7:AM7"/>
    <mergeCell ref="AN7:AY7"/>
    <mergeCell ref="AZ7:BE7"/>
    <mergeCell ref="AP8:AQ8"/>
    <mergeCell ref="AR8:AS8"/>
    <mergeCell ref="Q7:Q15"/>
    <mergeCell ref="R7:R15"/>
    <mergeCell ref="S7:S15"/>
    <mergeCell ref="T7:T15"/>
    <mergeCell ref="U7:U15"/>
    <mergeCell ref="V7:V15"/>
    <mergeCell ref="AJ8:AK8"/>
    <mergeCell ref="AL8:AM8"/>
    <mergeCell ref="AN8:AO8"/>
    <mergeCell ref="AT8:AU8"/>
    <mergeCell ref="AV8:AW8"/>
    <mergeCell ref="BF7:BG8"/>
    <mergeCell ref="A1:BF4"/>
    <mergeCell ref="A5:M6"/>
    <mergeCell ref="Q5:BJ5"/>
    <mergeCell ref="Q6:AA6"/>
    <mergeCell ref="AB6:AY6"/>
    <mergeCell ref="BF6:BJ6"/>
    <mergeCell ref="J7:J15"/>
    <mergeCell ref="K7:K15"/>
    <mergeCell ref="L7:L15"/>
    <mergeCell ref="M7:N8"/>
    <mergeCell ref="O7:O15"/>
    <mergeCell ref="P7:P9"/>
    <mergeCell ref="A7:A15"/>
    <mergeCell ref="B7:C15"/>
    <mergeCell ref="D7:D15"/>
    <mergeCell ref="E7:F15"/>
    <mergeCell ref="G7:G15"/>
    <mergeCell ref="BH7:BI8"/>
    <mergeCell ref="BJ7:BJ15"/>
    <mergeCell ref="AB8:AC8"/>
    <mergeCell ref="AD8:AE8"/>
    <mergeCell ref="AF8:AG8"/>
    <mergeCell ref="AH8:AI8"/>
    <mergeCell ref="M19:M21"/>
    <mergeCell ref="N19:N21"/>
    <mergeCell ref="O19:O21"/>
    <mergeCell ref="P19:P21"/>
    <mergeCell ref="Q19:Q21"/>
    <mergeCell ref="R19:R21"/>
    <mergeCell ref="BE8:BE9"/>
    <mergeCell ref="A17:A42"/>
    <mergeCell ref="B17:C42"/>
    <mergeCell ref="D18:D42"/>
    <mergeCell ref="E18:F42"/>
    <mergeCell ref="G19:G42"/>
    <mergeCell ref="H19:I42"/>
    <mergeCell ref="J19:J21"/>
    <mergeCell ref="K19:K21"/>
    <mergeCell ref="L19:L21"/>
    <mergeCell ref="AX8:AY8"/>
    <mergeCell ref="AZ8:AZ9"/>
    <mergeCell ref="BA8:BA9"/>
    <mergeCell ref="BB8:BB9"/>
    <mergeCell ref="BC8:BC9"/>
    <mergeCell ref="BD8:BD9"/>
    <mergeCell ref="W7:Y8"/>
    <mergeCell ref="Z7:Z9"/>
    <mergeCell ref="AC19:AC21"/>
    <mergeCell ref="AD19:AD21"/>
    <mergeCell ref="AE19:AE21"/>
    <mergeCell ref="AF19:AF21"/>
    <mergeCell ref="AG19:AG21"/>
    <mergeCell ref="AH19:AH21"/>
    <mergeCell ref="S19:S21"/>
    <mergeCell ref="T19:T21"/>
    <mergeCell ref="U19:U21"/>
    <mergeCell ref="Z19:Z21"/>
    <mergeCell ref="AA19:AA21"/>
    <mergeCell ref="AB19:AB21"/>
    <mergeCell ref="AQ19:AQ21"/>
    <mergeCell ref="AR19:AR21"/>
    <mergeCell ref="AS19:AS21"/>
    <mergeCell ref="AT19:AT21"/>
    <mergeCell ref="AI19:AI21"/>
    <mergeCell ref="AJ19:AJ21"/>
    <mergeCell ref="AK19:AK21"/>
    <mergeCell ref="AL19:AL21"/>
    <mergeCell ref="AM19:AM21"/>
    <mergeCell ref="AN19:AN21"/>
    <mergeCell ref="BG19:BG21"/>
    <mergeCell ref="BH19:BH21"/>
    <mergeCell ref="BI19:BI21"/>
    <mergeCell ref="BJ19:BJ21"/>
    <mergeCell ref="J22:J25"/>
    <mergeCell ref="K22:K25"/>
    <mergeCell ref="L22:L25"/>
    <mergeCell ref="M22:M25"/>
    <mergeCell ref="N22:N25"/>
    <mergeCell ref="O22:O25"/>
    <mergeCell ref="BA19:BA21"/>
    <mergeCell ref="BB19:BB21"/>
    <mergeCell ref="BC19:BC21"/>
    <mergeCell ref="BD19:BD21"/>
    <mergeCell ref="BE19:BE21"/>
    <mergeCell ref="BF19:BF21"/>
    <mergeCell ref="AU19:AU21"/>
    <mergeCell ref="AV19:AV21"/>
    <mergeCell ref="AW19:AW21"/>
    <mergeCell ref="AX19:AX21"/>
    <mergeCell ref="AY19:AY21"/>
    <mergeCell ref="AZ19:AZ21"/>
    <mergeCell ref="AO19:AO21"/>
    <mergeCell ref="AP19:AP21"/>
    <mergeCell ref="AA22:AA25"/>
    <mergeCell ref="AB22:AB25"/>
    <mergeCell ref="AC22:AC25"/>
    <mergeCell ref="AD22:AD25"/>
    <mergeCell ref="AE22:AE25"/>
    <mergeCell ref="AF22:AF25"/>
    <mergeCell ref="P22:P25"/>
    <mergeCell ref="Q22:Q25"/>
    <mergeCell ref="R22:R25"/>
    <mergeCell ref="S22:S25"/>
    <mergeCell ref="T22:T25"/>
    <mergeCell ref="Z22:Z25"/>
    <mergeCell ref="AN22:AN25"/>
    <mergeCell ref="AO22:AO25"/>
    <mergeCell ref="AP22:AP25"/>
    <mergeCell ref="AQ22:AQ25"/>
    <mergeCell ref="AR22:AR25"/>
    <mergeCell ref="AG22:AG25"/>
    <mergeCell ref="AH22:AH25"/>
    <mergeCell ref="AI22:AI25"/>
    <mergeCell ref="AJ22:AJ25"/>
    <mergeCell ref="AK22:AK25"/>
    <mergeCell ref="AL22:AL25"/>
    <mergeCell ref="AA26:AA29"/>
    <mergeCell ref="BJ22:BJ25"/>
    <mergeCell ref="U23:U24"/>
    <mergeCell ref="J26:J29"/>
    <mergeCell ref="K26:K29"/>
    <mergeCell ref="L26:L29"/>
    <mergeCell ref="M26:M29"/>
    <mergeCell ref="N26:N29"/>
    <mergeCell ref="O26:O27"/>
    <mergeCell ref="P26:P29"/>
    <mergeCell ref="Q26:Q29"/>
    <mergeCell ref="AY22:AY25"/>
    <mergeCell ref="AZ22:AZ25"/>
    <mergeCell ref="BD22:BD25"/>
    <mergeCell ref="BE22:BE25"/>
    <mergeCell ref="BF22:BF25"/>
    <mergeCell ref="BH22:BH25"/>
    <mergeCell ref="AS22:AS25"/>
    <mergeCell ref="AT22:AT25"/>
    <mergeCell ref="AU22:AU25"/>
    <mergeCell ref="AV22:AV25"/>
    <mergeCell ref="AW22:AW25"/>
    <mergeCell ref="AX22:AX25"/>
    <mergeCell ref="AM22:AM25"/>
    <mergeCell ref="BI26:BI29"/>
    <mergeCell ref="BJ26:BJ29"/>
    <mergeCell ref="O28:O29"/>
    <mergeCell ref="S28:S29"/>
    <mergeCell ref="U28:U29"/>
    <mergeCell ref="BA26:BA29"/>
    <mergeCell ref="BB26:BB29"/>
    <mergeCell ref="BC26:BC29"/>
    <mergeCell ref="BD26:BD29"/>
    <mergeCell ref="BE26:BE29"/>
    <mergeCell ref="AT26:AT29"/>
    <mergeCell ref="AU26:AU29"/>
    <mergeCell ref="AV26:AV29"/>
    <mergeCell ref="AW26:AW29"/>
    <mergeCell ref="AX26:AX29"/>
    <mergeCell ref="AY26:AY29"/>
    <mergeCell ref="AN26:AN29"/>
    <mergeCell ref="AO26:AO29"/>
    <mergeCell ref="AP26:AP29"/>
    <mergeCell ref="AQ26:AQ29"/>
    <mergeCell ref="AR26:AR29"/>
    <mergeCell ref="AS26:AS29"/>
    <mergeCell ref="AH26:AH29"/>
    <mergeCell ref="AI26:AI29"/>
    <mergeCell ref="J30:J33"/>
    <mergeCell ref="K30:K33"/>
    <mergeCell ref="L30:L33"/>
    <mergeCell ref="M30:M33"/>
    <mergeCell ref="N30:N33"/>
    <mergeCell ref="O30:O31"/>
    <mergeCell ref="BF26:BF29"/>
    <mergeCell ref="BG26:BG29"/>
    <mergeCell ref="BH26:BH29"/>
    <mergeCell ref="AJ26:AJ29"/>
    <mergeCell ref="AK26:AK29"/>
    <mergeCell ref="AL26:AL29"/>
    <mergeCell ref="AM26:AM29"/>
    <mergeCell ref="AB26:AB29"/>
    <mergeCell ref="AC26:AC29"/>
    <mergeCell ref="AD26:AD29"/>
    <mergeCell ref="AE26:AE29"/>
    <mergeCell ref="AF26:AF29"/>
    <mergeCell ref="AG26:AG29"/>
    <mergeCell ref="R26:R29"/>
    <mergeCell ref="S26:S27"/>
    <mergeCell ref="T26:T29"/>
    <mergeCell ref="U26:U27"/>
    <mergeCell ref="Z26:Z29"/>
    <mergeCell ref="X30:X32"/>
    <mergeCell ref="Y30:Y32"/>
    <mergeCell ref="Z30:Z33"/>
    <mergeCell ref="AA30:AA33"/>
    <mergeCell ref="AB30:AB33"/>
    <mergeCell ref="AC30:AC33"/>
    <mergeCell ref="P30:P33"/>
    <mergeCell ref="Q30:Q33"/>
    <mergeCell ref="R30:R33"/>
    <mergeCell ref="S30:S31"/>
    <mergeCell ref="T30:T33"/>
    <mergeCell ref="U30:U33"/>
    <mergeCell ref="AL30:AL33"/>
    <mergeCell ref="AM30:AM33"/>
    <mergeCell ref="AN30:AN33"/>
    <mergeCell ref="AO30:AO33"/>
    <mergeCell ref="AD30:AD33"/>
    <mergeCell ref="AE30:AE33"/>
    <mergeCell ref="AF30:AF33"/>
    <mergeCell ref="AG30:AG33"/>
    <mergeCell ref="AH30:AH33"/>
    <mergeCell ref="AI30:AI33"/>
    <mergeCell ref="BH30:BH33"/>
    <mergeCell ref="BI30:BI33"/>
    <mergeCell ref="BJ30:BJ33"/>
    <mergeCell ref="O32:O33"/>
    <mergeCell ref="S32:S33"/>
    <mergeCell ref="BB30:BB33"/>
    <mergeCell ref="BC30:BC33"/>
    <mergeCell ref="BD30:BD33"/>
    <mergeCell ref="BE30:BE33"/>
    <mergeCell ref="BF30:BF33"/>
    <mergeCell ref="BG30:BG33"/>
    <mergeCell ref="AV30:AV33"/>
    <mergeCell ref="AW30:AW33"/>
    <mergeCell ref="AX30:AX33"/>
    <mergeCell ref="AY30:AY33"/>
    <mergeCell ref="BA30:BA33"/>
    <mergeCell ref="AP30:AP33"/>
    <mergeCell ref="AQ30:AQ33"/>
    <mergeCell ref="AR30:AR33"/>
    <mergeCell ref="AS30:AS33"/>
    <mergeCell ref="AT30:AT33"/>
    <mergeCell ref="AU30:AU33"/>
    <mergeCell ref="AJ30:AJ33"/>
    <mergeCell ref="AK30:AK33"/>
    <mergeCell ref="Q34:Q42"/>
    <mergeCell ref="R34:R42"/>
    <mergeCell ref="S34:S42"/>
    <mergeCell ref="T34:T42"/>
    <mergeCell ref="Z34:Z42"/>
    <mergeCell ref="J34:J42"/>
    <mergeCell ref="K34:K42"/>
    <mergeCell ref="L34:L42"/>
    <mergeCell ref="M34:M42"/>
    <mergeCell ref="N34:N42"/>
    <mergeCell ref="O34:O42"/>
    <mergeCell ref="BJ34:BJ42"/>
    <mergeCell ref="U35:U42"/>
    <mergeCell ref="G43:R43"/>
    <mergeCell ref="M49:P49"/>
    <mergeCell ref="BB34:BB42"/>
    <mergeCell ref="BC34:BC42"/>
    <mergeCell ref="BG34:BG42"/>
    <mergeCell ref="BI34:BI42"/>
    <mergeCell ref="AY34:AY42"/>
    <mergeCell ref="AZ34:AZ42"/>
    <mergeCell ref="BD34:BD42"/>
    <mergeCell ref="BE34:BE42"/>
    <mergeCell ref="BF34:BF42"/>
    <mergeCell ref="AS34:AS42"/>
    <mergeCell ref="AT34:AT42"/>
    <mergeCell ref="AU34:AU42"/>
    <mergeCell ref="AV34:AV42"/>
    <mergeCell ref="AW34:AW42"/>
    <mergeCell ref="AX34:AX42"/>
    <mergeCell ref="AM34:AM42"/>
    <mergeCell ref="AN34:AN42"/>
    <mergeCell ref="AO34:AO42"/>
    <mergeCell ref="AP34:AP42"/>
    <mergeCell ref="AQ34:AQ42"/>
    <mergeCell ref="M50:P50"/>
    <mergeCell ref="BG22:BG25"/>
    <mergeCell ref="BI22:BI25"/>
    <mergeCell ref="AZ30:AZ33"/>
    <mergeCell ref="BA22:BA25"/>
    <mergeCell ref="BB22:BB25"/>
    <mergeCell ref="BC22:BC25"/>
    <mergeCell ref="AZ26:AZ29"/>
    <mergeCell ref="BA34:BA42"/>
    <mergeCell ref="BH34:BH42"/>
    <mergeCell ref="AR34:AR42"/>
    <mergeCell ref="AG34:AG42"/>
    <mergeCell ref="AH34:AH42"/>
    <mergeCell ref="AI34:AI42"/>
    <mergeCell ref="AJ34:AJ42"/>
    <mergeCell ref="AK34:AK42"/>
    <mergeCell ref="AL34:AL42"/>
    <mergeCell ref="AA34:AA42"/>
    <mergeCell ref="AB34:AB42"/>
    <mergeCell ref="AC34:AC42"/>
    <mergeCell ref="AD34:AD42"/>
    <mergeCell ref="AE34:AE42"/>
    <mergeCell ref="AF34:AF42"/>
    <mergeCell ref="P34:P4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BJ103"/>
  <sheetViews>
    <sheetView topLeftCell="AT1" zoomScale="55" zoomScaleNormal="55" zoomScaleSheetLayoutView="40" workbookViewId="0">
      <selection activeCell="BH1" sqref="BH1"/>
    </sheetView>
  </sheetViews>
  <sheetFormatPr baseColWidth="10" defaultColWidth="11.5703125" defaultRowHeight="14.25" x14ac:dyDescent="0.2"/>
  <cols>
    <col min="1" max="1" width="15.85546875" style="4" customWidth="1"/>
    <col min="2" max="2" width="19.5703125" style="4" customWidth="1"/>
    <col min="3" max="3" width="13.42578125" style="4" customWidth="1"/>
    <col min="4" max="4" width="19.140625" style="4" customWidth="1"/>
    <col min="5" max="5" width="13.28515625" style="4" customWidth="1"/>
    <col min="6" max="6" width="25.5703125" style="4" customWidth="1"/>
    <col min="7" max="7" width="12.28515625" style="503" customWidth="1"/>
    <col min="8" max="8" width="41.5703125" style="1580" customWidth="1"/>
    <col min="9" max="9" width="17.140625" style="4" customWidth="1"/>
    <col min="10" max="10" width="18.85546875" style="4" customWidth="1"/>
    <col min="11" max="11" width="18.85546875" style="123" customWidth="1"/>
    <col min="12" max="12" width="35.7109375" style="503" customWidth="1"/>
    <col min="13" max="13" width="10.5703125" style="4" customWidth="1"/>
    <col min="14" max="14" width="28.28515625" style="24" customWidth="1"/>
    <col min="15" max="15" width="15.140625" style="4" customWidth="1"/>
    <col min="16" max="16" width="26.28515625" style="625" customWidth="1"/>
    <col min="17" max="17" width="28.28515625" style="4" customWidth="1"/>
    <col min="18" max="18" width="32.85546875" style="1580" customWidth="1"/>
    <col min="19" max="19" width="31.85546875" style="1580" customWidth="1"/>
    <col min="20" max="20" width="26" style="1760" customWidth="1"/>
    <col min="21" max="21" width="31" style="1761" customWidth="1"/>
    <col min="22" max="22" width="33.140625" style="1761" customWidth="1"/>
    <col min="23" max="23" width="15.28515625" style="1729" customWidth="1"/>
    <col min="24" max="24" width="19.85546875" style="1732" customWidth="1"/>
    <col min="25" max="25" width="7.85546875" style="4" customWidth="1"/>
    <col min="26" max="26" width="8" style="123" customWidth="1"/>
    <col min="27" max="27" width="8.7109375" style="4" customWidth="1"/>
    <col min="28" max="28" width="9" style="123" customWidth="1"/>
    <col min="29" max="29" width="8.28515625" style="4" customWidth="1"/>
    <col min="30" max="30" width="8.28515625" style="123" customWidth="1"/>
    <col min="31" max="31" width="4.140625" style="4" customWidth="1"/>
    <col min="32" max="32" width="4.140625" style="123" customWidth="1"/>
    <col min="33" max="33" width="7.28515625" style="4" customWidth="1"/>
    <col min="34" max="34" width="7.5703125" style="123" customWidth="1"/>
    <col min="35" max="35" width="4.140625" style="4" customWidth="1"/>
    <col min="36" max="36" width="4.140625" style="123" customWidth="1"/>
    <col min="37" max="37" width="6.7109375" style="4" customWidth="1"/>
    <col min="38" max="38" width="7.28515625" style="123" customWidth="1"/>
    <col min="39" max="39" width="5.28515625" style="4" customWidth="1"/>
    <col min="40" max="40" width="5.85546875" style="123" customWidth="1"/>
    <col min="41" max="41" width="4.7109375" style="4" customWidth="1"/>
    <col min="42" max="42" width="10.140625" style="123" customWidth="1"/>
    <col min="43" max="43" width="8.140625" style="4" customWidth="1"/>
    <col min="44" max="44" width="7.5703125" style="123" customWidth="1"/>
    <col min="45" max="45" width="15.28515625" style="4" customWidth="1"/>
    <col min="46" max="46" width="7.5703125" style="123" customWidth="1"/>
    <col min="47" max="47" width="11.28515625" style="4" customWidth="1"/>
    <col min="48" max="48" width="10.5703125" style="123" customWidth="1"/>
    <col min="49" max="49" width="19.85546875" style="4" customWidth="1"/>
    <col min="50" max="50" width="34.7109375" style="629" bestFit="1" customWidth="1"/>
    <col min="51" max="51" width="31" style="4" customWidth="1"/>
    <col min="52" max="52" width="25.85546875" style="4" customWidth="1"/>
    <col min="53" max="53" width="28.7109375" style="4" customWidth="1"/>
    <col min="54" max="54" width="31" style="4" customWidth="1"/>
    <col min="55" max="55" width="22.7109375" style="4" customWidth="1"/>
    <col min="56" max="56" width="22.7109375" style="123" customWidth="1"/>
    <col min="57" max="57" width="22.7109375" style="4" customWidth="1"/>
    <col min="58" max="58" width="22.7109375" style="123" customWidth="1"/>
    <col min="59" max="59" width="28.7109375" style="4" customWidth="1"/>
    <col min="60" max="16384" width="11.5703125" style="4"/>
  </cols>
  <sheetData>
    <row r="1" spans="1:62" ht="21" customHeight="1" x14ac:dyDescent="0.25">
      <c r="A1" s="4219" t="s">
        <v>0</v>
      </c>
      <c r="B1" s="4219"/>
      <c r="C1" s="4219"/>
      <c r="D1" s="4219"/>
      <c r="E1" s="4219"/>
      <c r="F1" s="4219"/>
      <c r="G1" s="4219"/>
      <c r="H1" s="4219"/>
      <c r="I1" s="4219"/>
      <c r="J1" s="4219"/>
      <c r="K1" s="4219"/>
      <c r="L1" s="4219"/>
      <c r="M1" s="4219"/>
      <c r="N1" s="4219"/>
      <c r="O1" s="4219"/>
      <c r="P1" s="4219"/>
      <c r="Q1" s="4219"/>
      <c r="R1" s="4219"/>
      <c r="S1" s="4219"/>
      <c r="T1" s="4219"/>
      <c r="U1" s="4219"/>
      <c r="V1" s="4219"/>
      <c r="W1" s="4219"/>
      <c r="X1" s="4219"/>
      <c r="Y1" s="4219"/>
      <c r="Z1" s="4219"/>
      <c r="AA1" s="4219"/>
      <c r="AB1" s="4219"/>
      <c r="AC1" s="4219"/>
      <c r="AD1" s="4219"/>
      <c r="AE1" s="4219"/>
      <c r="AF1" s="4219"/>
      <c r="AG1" s="4219"/>
      <c r="AH1" s="4219"/>
      <c r="AI1" s="4219"/>
      <c r="AJ1" s="4219"/>
      <c r="AK1" s="4219"/>
      <c r="AL1" s="4219"/>
      <c r="AM1" s="4219"/>
      <c r="AN1" s="4219"/>
      <c r="AO1" s="4219"/>
      <c r="AP1" s="4219"/>
      <c r="AQ1" s="4219"/>
      <c r="AR1" s="4219"/>
      <c r="AS1" s="4219"/>
      <c r="AT1" s="4219"/>
      <c r="AU1" s="4219"/>
      <c r="AV1" s="4219"/>
      <c r="AW1" s="4219"/>
      <c r="AX1" s="4219"/>
      <c r="AY1" s="4219"/>
      <c r="AZ1" s="4219"/>
      <c r="BA1" s="4219"/>
      <c r="BB1" s="4219"/>
      <c r="BC1" s="4219"/>
      <c r="BD1" s="504"/>
      <c r="BF1" s="1895" t="s">
        <v>1</v>
      </c>
      <c r="BG1" s="1895" t="s">
        <v>2</v>
      </c>
    </row>
    <row r="2" spans="1:62" ht="21" customHeight="1" x14ac:dyDescent="0.25">
      <c r="A2" s="4219"/>
      <c r="B2" s="4219"/>
      <c r="C2" s="4219"/>
      <c r="D2" s="4219"/>
      <c r="E2" s="4219"/>
      <c r="F2" s="4219"/>
      <c r="G2" s="4219"/>
      <c r="H2" s="4219"/>
      <c r="I2" s="4219"/>
      <c r="J2" s="4219"/>
      <c r="K2" s="4219"/>
      <c r="L2" s="4219"/>
      <c r="M2" s="4219"/>
      <c r="N2" s="4219"/>
      <c r="O2" s="4219"/>
      <c r="P2" s="4219"/>
      <c r="Q2" s="4219"/>
      <c r="R2" s="4219"/>
      <c r="S2" s="4219"/>
      <c r="T2" s="4219"/>
      <c r="U2" s="4219"/>
      <c r="V2" s="4219"/>
      <c r="W2" s="4219"/>
      <c r="X2" s="4219"/>
      <c r="Y2" s="4219"/>
      <c r="Z2" s="4219"/>
      <c r="AA2" s="4219"/>
      <c r="AB2" s="4219"/>
      <c r="AC2" s="4219"/>
      <c r="AD2" s="4219"/>
      <c r="AE2" s="4219"/>
      <c r="AF2" s="4219"/>
      <c r="AG2" s="4219"/>
      <c r="AH2" s="4219"/>
      <c r="AI2" s="4219"/>
      <c r="AJ2" s="4219"/>
      <c r="AK2" s="4219"/>
      <c r="AL2" s="4219"/>
      <c r="AM2" s="4219"/>
      <c r="AN2" s="4219"/>
      <c r="AO2" s="4219"/>
      <c r="AP2" s="4219"/>
      <c r="AQ2" s="4219"/>
      <c r="AR2" s="4219"/>
      <c r="AS2" s="4219"/>
      <c r="AT2" s="4219"/>
      <c r="AU2" s="4219"/>
      <c r="AV2" s="4219"/>
      <c r="AW2" s="4219"/>
      <c r="AX2" s="4219"/>
      <c r="AY2" s="4219"/>
      <c r="AZ2" s="4219"/>
      <c r="BA2" s="4219"/>
      <c r="BB2" s="4219"/>
      <c r="BC2" s="4219"/>
      <c r="BD2" s="504"/>
      <c r="BF2" s="1896" t="s">
        <v>3</v>
      </c>
      <c r="BG2" s="1897">
        <v>5</v>
      </c>
    </row>
    <row r="3" spans="1:62" ht="21" customHeight="1" x14ac:dyDescent="0.25">
      <c r="A3" s="4219"/>
      <c r="B3" s="4219"/>
      <c r="C3" s="4219"/>
      <c r="D3" s="4219"/>
      <c r="E3" s="4219"/>
      <c r="F3" s="4219"/>
      <c r="G3" s="4219"/>
      <c r="H3" s="4219"/>
      <c r="I3" s="4219"/>
      <c r="J3" s="4219"/>
      <c r="K3" s="4219"/>
      <c r="L3" s="4219"/>
      <c r="M3" s="4219"/>
      <c r="N3" s="4219"/>
      <c r="O3" s="4219"/>
      <c r="P3" s="4219"/>
      <c r="Q3" s="4219"/>
      <c r="R3" s="4219"/>
      <c r="S3" s="4219"/>
      <c r="T3" s="4219"/>
      <c r="U3" s="4219"/>
      <c r="V3" s="4219"/>
      <c r="W3" s="4219"/>
      <c r="X3" s="4219"/>
      <c r="Y3" s="4219"/>
      <c r="Z3" s="4219"/>
      <c r="AA3" s="4219"/>
      <c r="AB3" s="4219"/>
      <c r="AC3" s="4219"/>
      <c r="AD3" s="4219"/>
      <c r="AE3" s="4219"/>
      <c r="AF3" s="4219"/>
      <c r="AG3" s="4219"/>
      <c r="AH3" s="4219"/>
      <c r="AI3" s="4219"/>
      <c r="AJ3" s="4219"/>
      <c r="AK3" s="4219"/>
      <c r="AL3" s="4219"/>
      <c r="AM3" s="4219"/>
      <c r="AN3" s="4219"/>
      <c r="AO3" s="4219"/>
      <c r="AP3" s="4219"/>
      <c r="AQ3" s="4219"/>
      <c r="AR3" s="4219"/>
      <c r="AS3" s="4219"/>
      <c r="AT3" s="4219"/>
      <c r="AU3" s="4219"/>
      <c r="AV3" s="4219"/>
      <c r="AW3" s="4219"/>
      <c r="AX3" s="4219"/>
      <c r="AY3" s="4219"/>
      <c r="AZ3" s="4219"/>
      <c r="BA3" s="4219"/>
      <c r="BB3" s="4219"/>
      <c r="BC3" s="4219"/>
      <c r="BD3" s="504"/>
      <c r="BF3" s="1895" t="s">
        <v>4</v>
      </c>
      <c r="BG3" s="1898" t="s">
        <v>335</v>
      </c>
    </row>
    <row r="4" spans="1:62" ht="21" customHeight="1" x14ac:dyDescent="0.2">
      <c r="A4" s="4219"/>
      <c r="B4" s="4219"/>
      <c r="C4" s="4219"/>
      <c r="D4" s="4219"/>
      <c r="E4" s="4219"/>
      <c r="F4" s="4219"/>
      <c r="G4" s="4219"/>
      <c r="H4" s="4219"/>
      <c r="I4" s="4219"/>
      <c r="J4" s="4219"/>
      <c r="K4" s="4219"/>
      <c r="L4" s="4219"/>
      <c r="M4" s="4219"/>
      <c r="N4" s="4219"/>
      <c r="O4" s="4219"/>
      <c r="P4" s="4219"/>
      <c r="Q4" s="4219"/>
      <c r="R4" s="4219"/>
      <c r="S4" s="4219"/>
      <c r="T4" s="4219"/>
      <c r="U4" s="4219"/>
      <c r="V4" s="4219"/>
      <c r="W4" s="4219"/>
      <c r="X4" s="4219"/>
      <c r="Y4" s="4219"/>
      <c r="Z4" s="4219"/>
      <c r="AA4" s="4219"/>
      <c r="AB4" s="4219"/>
      <c r="AC4" s="4219"/>
      <c r="AD4" s="4219"/>
      <c r="AE4" s="4219"/>
      <c r="AF4" s="4219"/>
      <c r="AG4" s="4219"/>
      <c r="AH4" s="4219"/>
      <c r="AI4" s="4219"/>
      <c r="AJ4" s="4219"/>
      <c r="AK4" s="4219"/>
      <c r="AL4" s="4219"/>
      <c r="AM4" s="4219"/>
      <c r="AN4" s="4219"/>
      <c r="AO4" s="4219"/>
      <c r="AP4" s="4219"/>
      <c r="AQ4" s="4219"/>
      <c r="AR4" s="4219"/>
      <c r="AS4" s="4219"/>
      <c r="AT4" s="4219"/>
      <c r="AU4" s="4219"/>
      <c r="AV4" s="4219"/>
      <c r="AW4" s="4219"/>
      <c r="AX4" s="4219"/>
      <c r="AY4" s="4219"/>
      <c r="AZ4" s="4219"/>
      <c r="BA4" s="4219"/>
      <c r="BB4" s="4219"/>
      <c r="BC4" s="4219"/>
      <c r="BD4" s="504"/>
      <c r="BF4" s="679" t="s">
        <v>6</v>
      </c>
      <c r="BG4" s="1899" t="s">
        <v>7</v>
      </c>
    </row>
    <row r="5" spans="1:62"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row>
    <row r="6" spans="1:62"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row>
    <row r="7" spans="1:62" ht="28.5" customHeight="1" x14ac:dyDescent="0.2">
      <c r="A7" s="2735" t="s">
        <v>11</v>
      </c>
      <c r="B7" s="2735" t="s">
        <v>1212</v>
      </c>
      <c r="C7" s="2735" t="s">
        <v>11</v>
      </c>
      <c r="D7" s="2735" t="s">
        <v>1213</v>
      </c>
      <c r="E7" s="2735" t="s">
        <v>11</v>
      </c>
      <c r="F7" s="2735" t="s">
        <v>1214</v>
      </c>
      <c r="G7" s="2735" t="s">
        <v>11</v>
      </c>
      <c r="H7" s="4217" t="s">
        <v>15</v>
      </c>
      <c r="I7" s="2735" t="s">
        <v>16</v>
      </c>
      <c r="J7" s="2729" t="s">
        <v>17</v>
      </c>
      <c r="K7" s="2731"/>
      <c r="L7" s="2735" t="s">
        <v>18</v>
      </c>
      <c r="M7" s="2735" t="s">
        <v>19</v>
      </c>
      <c r="N7" s="2735" t="s">
        <v>9</v>
      </c>
      <c r="O7" s="2735" t="s">
        <v>20</v>
      </c>
      <c r="P7" s="4215" t="s">
        <v>1215</v>
      </c>
      <c r="Q7" s="2735" t="s">
        <v>22</v>
      </c>
      <c r="R7" s="2735" t="s">
        <v>23</v>
      </c>
      <c r="S7" s="4217" t="s">
        <v>24</v>
      </c>
      <c r="T7" s="4209" t="s">
        <v>21</v>
      </c>
      <c r="U7" s="4210"/>
      <c r="V7" s="4211"/>
      <c r="W7" s="4215" t="s">
        <v>11</v>
      </c>
      <c r="X7" s="4217" t="s">
        <v>25</v>
      </c>
      <c r="Y7" s="2752" t="s">
        <v>26</v>
      </c>
      <c r="Z7" s="2753"/>
      <c r="AA7" s="2753"/>
      <c r="AB7" s="2753"/>
      <c r="AC7" s="2753"/>
      <c r="AD7" s="2753"/>
      <c r="AE7" s="2753"/>
      <c r="AF7" s="2753"/>
      <c r="AG7" s="2753"/>
      <c r="AH7" s="2753"/>
      <c r="AI7" s="2753"/>
      <c r="AJ7" s="2754"/>
      <c r="AK7" s="2752" t="s">
        <v>27</v>
      </c>
      <c r="AL7" s="2753"/>
      <c r="AM7" s="2753"/>
      <c r="AN7" s="2753"/>
      <c r="AO7" s="2753"/>
      <c r="AP7" s="2753"/>
      <c r="AQ7" s="2753"/>
      <c r="AR7" s="2753"/>
      <c r="AS7" s="2753"/>
      <c r="AT7" s="2753"/>
      <c r="AU7" s="2753"/>
      <c r="AV7" s="2754"/>
      <c r="AW7" s="3009" t="s">
        <v>28</v>
      </c>
      <c r="AX7" s="3010"/>
      <c r="AY7" s="3010"/>
      <c r="AZ7" s="3010"/>
      <c r="BA7" s="3010"/>
      <c r="BB7" s="3011"/>
      <c r="BC7" s="3012" t="s">
        <v>29</v>
      </c>
      <c r="BD7" s="3012"/>
      <c r="BE7" s="3012" t="s">
        <v>30</v>
      </c>
      <c r="BF7" s="3012"/>
      <c r="BG7" s="3004" t="s">
        <v>31</v>
      </c>
    </row>
    <row r="8" spans="1:62" ht="49.5" customHeight="1" x14ac:dyDescent="0.2">
      <c r="A8" s="2736"/>
      <c r="B8" s="2736"/>
      <c r="C8" s="2736"/>
      <c r="D8" s="2736"/>
      <c r="E8" s="2736"/>
      <c r="F8" s="2736"/>
      <c r="G8" s="2736"/>
      <c r="H8" s="4218"/>
      <c r="I8" s="2736"/>
      <c r="J8" s="2732"/>
      <c r="K8" s="2734"/>
      <c r="L8" s="2736"/>
      <c r="M8" s="2736"/>
      <c r="N8" s="2736"/>
      <c r="O8" s="2736"/>
      <c r="P8" s="4216"/>
      <c r="Q8" s="2736"/>
      <c r="R8" s="2736"/>
      <c r="S8" s="4218"/>
      <c r="T8" s="4212"/>
      <c r="U8" s="4213"/>
      <c r="V8" s="4214"/>
      <c r="W8" s="4216"/>
      <c r="X8" s="4218"/>
      <c r="Y8" s="2729" t="s">
        <v>32</v>
      </c>
      <c r="Z8" s="2731"/>
      <c r="AA8" s="4062" t="s">
        <v>33</v>
      </c>
      <c r="AB8" s="4063"/>
      <c r="AC8" s="4062" t="s">
        <v>34</v>
      </c>
      <c r="AD8" s="4063"/>
      <c r="AE8" s="2729" t="s">
        <v>35</v>
      </c>
      <c r="AF8" s="2731"/>
      <c r="AG8" s="2729" t="s">
        <v>36</v>
      </c>
      <c r="AH8" s="2731"/>
      <c r="AI8" s="2729" t="s">
        <v>37</v>
      </c>
      <c r="AJ8" s="2731"/>
      <c r="AK8" s="2729" t="s">
        <v>38</v>
      </c>
      <c r="AL8" s="2731"/>
      <c r="AM8" s="2729" t="s">
        <v>39</v>
      </c>
      <c r="AN8" s="2731"/>
      <c r="AO8" s="2729" t="s">
        <v>40</v>
      </c>
      <c r="AP8" s="2731"/>
      <c r="AQ8" s="2729" t="s">
        <v>41</v>
      </c>
      <c r="AR8" s="2731"/>
      <c r="AS8" s="2729" t="s">
        <v>42</v>
      </c>
      <c r="AT8" s="2731"/>
      <c r="AU8" s="2748" t="s">
        <v>43</v>
      </c>
      <c r="AV8" s="2748"/>
      <c r="AW8" s="2726" t="s">
        <v>44</v>
      </c>
      <c r="AX8" s="4208" t="s">
        <v>45</v>
      </c>
      <c r="AY8" s="2726" t="s">
        <v>46</v>
      </c>
      <c r="AZ8" s="2728" t="s">
        <v>47</v>
      </c>
      <c r="BA8" s="2726" t="s">
        <v>48</v>
      </c>
      <c r="BB8" s="2721" t="s">
        <v>49</v>
      </c>
      <c r="BC8" s="3012"/>
      <c r="BD8" s="3012"/>
      <c r="BE8" s="3012"/>
      <c r="BF8" s="3012"/>
      <c r="BG8" s="3005"/>
    </row>
    <row r="9" spans="1:62" ht="15" x14ac:dyDescent="0.2">
      <c r="A9" s="2736"/>
      <c r="B9" s="2736"/>
      <c r="C9" s="2736"/>
      <c r="D9" s="2736"/>
      <c r="E9" s="2736"/>
      <c r="F9" s="2736"/>
      <c r="G9" s="2736"/>
      <c r="H9" s="4218"/>
      <c r="I9" s="2736"/>
      <c r="J9" s="2090" t="s">
        <v>50</v>
      </c>
      <c r="K9" s="2373" t="s">
        <v>51</v>
      </c>
      <c r="L9" s="2736"/>
      <c r="M9" s="2736"/>
      <c r="N9" s="2736"/>
      <c r="O9" s="2736"/>
      <c r="P9" s="4216"/>
      <c r="Q9" s="2736"/>
      <c r="R9" s="2736"/>
      <c r="S9" s="4218"/>
      <c r="T9" s="1734" t="s">
        <v>52</v>
      </c>
      <c r="U9" s="1735" t="s">
        <v>53</v>
      </c>
      <c r="V9" s="1735" t="s">
        <v>54</v>
      </c>
      <c r="W9" s="4216"/>
      <c r="X9" s="4218"/>
      <c r="Y9" s="2281" t="s">
        <v>50</v>
      </c>
      <c r="Z9" s="505" t="s">
        <v>51</v>
      </c>
      <c r="AA9" s="2281" t="s">
        <v>50</v>
      </c>
      <c r="AB9" s="505" t="s">
        <v>51</v>
      </c>
      <c r="AC9" s="2281" t="s">
        <v>50</v>
      </c>
      <c r="AD9" s="505" t="s">
        <v>51</v>
      </c>
      <c r="AE9" s="2281" t="s">
        <v>50</v>
      </c>
      <c r="AF9" s="505" t="s">
        <v>51</v>
      </c>
      <c r="AG9" s="2281" t="s">
        <v>50</v>
      </c>
      <c r="AH9" s="505" t="s">
        <v>51</v>
      </c>
      <c r="AI9" s="2281" t="s">
        <v>50</v>
      </c>
      <c r="AJ9" s="505" t="s">
        <v>51</v>
      </c>
      <c r="AK9" s="2281" t="s">
        <v>50</v>
      </c>
      <c r="AL9" s="505" t="s">
        <v>51</v>
      </c>
      <c r="AM9" s="2281" t="s">
        <v>50</v>
      </c>
      <c r="AN9" s="505" t="s">
        <v>51</v>
      </c>
      <c r="AO9" s="2281" t="s">
        <v>50</v>
      </c>
      <c r="AP9" s="505" t="s">
        <v>51</v>
      </c>
      <c r="AQ9" s="2281" t="s">
        <v>50</v>
      </c>
      <c r="AR9" s="505" t="s">
        <v>51</v>
      </c>
      <c r="AS9" s="2281" t="s">
        <v>50</v>
      </c>
      <c r="AT9" s="505" t="s">
        <v>51</v>
      </c>
      <c r="AU9" s="2281" t="s">
        <v>50</v>
      </c>
      <c r="AV9" s="505" t="s">
        <v>51</v>
      </c>
      <c r="AW9" s="2726"/>
      <c r="AX9" s="4208"/>
      <c r="AY9" s="2726"/>
      <c r="AZ9" s="2728"/>
      <c r="BA9" s="2726"/>
      <c r="BB9" s="2722"/>
      <c r="BC9" s="2188" t="s">
        <v>50</v>
      </c>
      <c r="BD9" s="116" t="s">
        <v>51</v>
      </c>
      <c r="BE9" s="2188" t="s">
        <v>296</v>
      </c>
      <c r="BF9" s="116" t="s">
        <v>51</v>
      </c>
      <c r="BG9" s="3005"/>
    </row>
    <row r="10" spans="1:62" ht="3.75" customHeight="1" x14ac:dyDescent="0.2">
      <c r="A10" s="2089"/>
      <c r="B10" s="2088"/>
      <c r="C10" s="2377"/>
      <c r="D10" s="2089"/>
      <c r="E10" s="2737"/>
      <c r="F10" s="2089"/>
      <c r="G10" s="2092"/>
      <c r="H10" s="2560"/>
      <c r="I10" s="2092"/>
      <c r="J10" s="94"/>
      <c r="K10" s="163"/>
      <c r="L10" s="2092"/>
      <c r="M10" s="2092"/>
      <c r="N10" s="2092"/>
      <c r="O10" s="2092"/>
      <c r="P10" s="506"/>
      <c r="Q10" s="2737"/>
      <c r="R10" s="2560"/>
      <c r="S10" s="2560"/>
      <c r="T10" s="1736"/>
      <c r="U10" s="1737"/>
      <c r="V10" s="1737"/>
      <c r="W10" s="506"/>
      <c r="X10" s="2560"/>
      <c r="Y10" s="507"/>
      <c r="Z10" s="508"/>
      <c r="AA10" s="507"/>
      <c r="AB10" s="508"/>
      <c r="AC10" s="507"/>
      <c r="AD10" s="508"/>
      <c r="AE10" s="507"/>
      <c r="AF10" s="508"/>
      <c r="AG10" s="507"/>
      <c r="AH10" s="508"/>
      <c r="AI10" s="507"/>
      <c r="AJ10" s="508"/>
      <c r="AK10" s="509"/>
      <c r="AL10" s="510"/>
      <c r="AM10" s="507"/>
      <c r="AN10" s="508"/>
      <c r="AO10" s="511"/>
      <c r="AP10" s="508"/>
      <c r="AQ10" s="507"/>
      <c r="AR10" s="508"/>
      <c r="AS10" s="512"/>
      <c r="AT10" s="513"/>
      <c r="AU10" s="512"/>
      <c r="AV10" s="513"/>
      <c r="AW10" s="512"/>
      <c r="AX10" s="514"/>
      <c r="AY10" s="512"/>
      <c r="AZ10" s="512"/>
      <c r="BA10" s="512"/>
      <c r="BB10" s="512"/>
      <c r="BC10" s="512"/>
      <c r="BD10" s="513"/>
      <c r="BE10" s="512"/>
      <c r="BF10" s="513"/>
      <c r="BG10" s="2191"/>
    </row>
    <row r="11" spans="1:62" s="491" customFormat="1" ht="33.75" customHeight="1" x14ac:dyDescent="0.25">
      <c r="A11" s="515">
        <v>3</v>
      </c>
      <c r="B11" s="516" t="s">
        <v>1216</v>
      </c>
      <c r="C11" s="44"/>
      <c r="D11" s="44"/>
      <c r="E11" s="44"/>
      <c r="F11" s="44"/>
      <c r="G11" s="44"/>
      <c r="H11" s="45"/>
      <c r="I11" s="44"/>
      <c r="J11" s="44"/>
      <c r="K11" s="272"/>
      <c r="L11" s="44"/>
      <c r="M11" s="44"/>
      <c r="N11" s="44"/>
      <c r="O11" s="44"/>
      <c r="P11" s="44"/>
      <c r="Q11" s="44"/>
      <c r="R11" s="45"/>
      <c r="S11" s="45"/>
      <c r="T11" s="1483"/>
      <c r="U11" s="1738"/>
      <c r="V11" s="1738"/>
      <c r="W11" s="46"/>
      <c r="X11" s="45"/>
      <c r="Y11" s="44"/>
      <c r="Z11" s="272"/>
      <c r="AA11" s="44"/>
      <c r="AB11" s="272"/>
      <c r="AC11" s="44"/>
      <c r="AD11" s="272"/>
      <c r="AE11" s="44"/>
      <c r="AF11" s="272"/>
      <c r="AG11" s="44"/>
      <c r="AH11" s="272"/>
      <c r="AI11" s="44"/>
      <c r="AJ11" s="272"/>
      <c r="AK11" s="44"/>
      <c r="AL11" s="272"/>
      <c r="AM11" s="44"/>
      <c r="AN11" s="272"/>
      <c r="AO11" s="44"/>
      <c r="AP11" s="272"/>
      <c r="AQ11" s="44"/>
      <c r="AR11" s="272"/>
      <c r="AS11" s="44"/>
      <c r="AT11" s="272"/>
      <c r="AU11" s="44"/>
      <c r="AV11" s="272"/>
      <c r="AW11" s="44"/>
      <c r="AX11" s="517"/>
      <c r="AY11" s="44"/>
      <c r="AZ11" s="44"/>
      <c r="BA11" s="44"/>
      <c r="BB11" s="44"/>
      <c r="BC11" s="44"/>
      <c r="BD11" s="272"/>
      <c r="BE11" s="44"/>
      <c r="BF11" s="272"/>
      <c r="BG11" s="518"/>
      <c r="BH11" s="519"/>
      <c r="BI11" s="519"/>
      <c r="BJ11" s="520"/>
    </row>
    <row r="12" spans="1:62" s="491" customFormat="1" ht="15" x14ac:dyDescent="0.25">
      <c r="A12" s="3416" t="s">
        <v>1217</v>
      </c>
      <c r="B12" s="3417"/>
      <c r="C12" s="521">
        <v>5</v>
      </c>
      <c r="D12" s="69" t="s">
        <v>1218</v>
      </c>
      <c r="E12" s="47"/>
      <c r="F12" s="47"/>
      <c r="G12" s="47"/>
      <c r="H12" s="48"/>
      <c r="I12" s="47"/>
      <c r="J12" s="47"/>
      <c r="K12" s="157"/>
      <c r="L12" s="47"/>
      <c r="M12" s="47"/>
      <c r="N12" s="47"/>
      <c r="O12" s="47"/>
      <c r="P12" s="47"/>
      <c r="Q12" s="47"/>
      <c r="R12" s="48"/>
      <c r="S12" s="48"/>
      <c r="T12" s="1485"/>
      <c r="U12" s="1739"/>
      <c r="V12" s="1739"/>
      <c r="W12" s="49"/>
      <c r="X12" s="48"/>
      <c r="Y12" s="47"/>
      <c r="Z12" s="157"/>
      <c r="AA12" s="47"/>
      <c r="AB12" s="157"/>
      <c r="AC12" s="47"/>
      <c r="AD12" s="157"/>
      <c r="AE12" s="47"/>
      <c r="AF12" s="157"/>
      <c r="AG12" s="47"/>
      <c r="AH12" s="157"/>
      <c r="AI12" s="47"/>
      <c r="AJ12" s="157"/>
      <c r="AK12" s="47"/>
      <c r="AL12" s="157"/>
      <c r="AM12" s="47"/>
      <c r="AN12" s="157"/>
      <c r="AO12" s="47"/>
      <c r="AP12" s="157"/>
      <c r="AQ12" s="47"/>
      <c r="AR12" s="157"/>
      <c r="AS12" s="47"/>
      <c r="AT12" s="157"/>
      <c r="AU12" s="47"/>
      <c r="AV12" s="157"/>
      <c r="AW12" s="47"/>
      <c r="AX12" s="522"/>
      <c r="AY12" s="47"/>
      <c r="AZ12" s="47"/>
      <c r="BA12" s="47"/>
      <c r="BB12" s="47"/>
      <c r="BC12" s="47"/>
      <c r="BD12" s="157"/>
      <c r="BE12" s="47"/>
      <c r="BF12" s="157"/>
      <c r="BG12" s="523"/>
      <c r="BH12" s="520"/>
      <c r="BI12" s="520"/>
      <c r="BJ12" s="520"/>
    </row>
    <row r="13" spans="1:62" ht="15" x14ac:dyDescent="0.2">
      <c r="A13" s="3416"/>
      <c r="B13" s="3417"/>
      <c r="C13" s="3422"/>
      <c r="D13" s="2982"/>
      <c r="E13" s="524">
        <v>16</v>
      </c>
      <c r="F13" s="525" t="s">
        <v>1219</v>
      </c>
      <c r="G13" s="50"/>
      <c r="H13" s="412"/>
      <c r="I13" s="50"/>
      <c r="J13" s="50"/>
      <c r="K13" s="411"/>
      <c r="L13" s="50"/>
      <c r="M13" s="50"/>
      <c r="N13" s="50"/>
      <c r="O13" s="50"/>
      <c r="P13" s="50"/>
      <c r="Q13" s="50"/>
      <c r="R13" s="412"/>
      <c r="S13" s="412"/>
      <c r="T13" s="1493"/>
      <c r="U13" s="1740"/>
      <c r="V13" s="1740"/>
      <c r="W13" s="2520"/>
      <c r="X13" s="412"/>
      <c r="Y13" s="50"/>
      <c r="Z13" s="411"/>
      <c r="AA13" s="50"/>
      <c r="AB13" s="411"/>
      <c r="AC13" s="50"/>
      <c r="AD13" s="411"/>
      <c r="AE13" s="50"/>
      <c r="AF13" s="411"/>
      <c r="AG13" s="50"/>
      <c r="AH13" s="411"/>
      <c r="AI13" s="50"/>
      <c r="AJ13" s="411"/>
      <c r="AK13" s="50"/>
      <c r="AL13" s="411"/>
      <c r="AM13" s="50"/>
      <c r="AN13" s="411"/>
      <c r="AO13" s="50"/>
      <c r="AP13" s="411"/>
      <c r="AQ13" s="50"/>
      <c r="AR13" s="411"/>
      <c r="AS13" s="50"/>
      <c r="AT13" s="411"/>
      <c r="AU13" s="50"/>
      <c r="AV13" s="411"/>
      <c r="AW13" s="50"/>
      <c r="AX13" s="526"/>
      <c r="AY13" s="50"/>
      <c r="AZ13" s="50"/>
      <c r="BA13" s="50"/>
      <c r="BB13" s="50"/>
      <c r="BC13" s="50"/>
      <c r="BD13" s="411"/>
      <c r="BE13" s="50"/>
      <c r="BF13" s="411"/>
      <c r="BG13" s="527"/>
      <c r="BH13" s="528"/>
      <c r="BI13" s="528"/>
      <c r="BJ13" s="413"/>
    </row>
    <row r="14" spans="1:62" s="24" customFormat="1" ht="28.5" x14ac:dyDescent="0.2">
      <c r="A14" s="3416"/>
      <c r="B14" s="3417"/>
      <c r="C14" s="3423"/>
      <c r="D14" s="2983"/>
      <c r="E14" s="3412"/>
      <c r="F14" s="3414"/>
      <c r="G14" s="2600">
        <v>65</v>
      </c>
      <c r="H14" s="2605" t="s">
        <v>1220</v>
      </c>
      <c r="I14" s="2600" t="s">
        <v>59</v>
      </c>
      <c r="J14" s="2602">
        <v>1</v>
      </c>
      <c r="K14" s="4204">
        <v>1</v>
      </c>
      <c r="L14" s="529" t="s">
        <v>1221</v>
      </c>
      <c r="M14" s="2600">
        <v>84</v>
      </c>
      <c r="N14" s="2604" t="s">
        <v>1222</v>
      </c>
      <c r="O14" s="4191">
        <v>0.69</v>
      </c>
      <c r="P14" s="4156">
        <v>7595374483</v>
      </c>
      <c r="Q14" s="2600" t="s">
        <v>1223</v>
      </c>
      <c r="R14" s="2605" t="s">
        <v>1224</v>
      </c>
      <c r="S14" s="2605" t="s">
        <v>1220</v>
      </c>
      <c r="T14" s="4194">
        <v>2216796254</v>
      </c>
      <c r="U14" s="4168">
        <v>1550108638</v>
      </c>
      <c r="V14" s="4168">
        <v>1497108638</v>
      </c>
      <c r="W14" s="2446">
        <v>134</v>
      </c>
      <c r="X14" s="2130" t="s">
        <v>1225</v>
      </c>
      <c r="Y14" s="2602">
        <v>2732</v>
      </c>
      <c r="Z14" s="4160">
        <v>2732</v>
      </c>
      <c r="AA14" s="2602">
        <v>17360</v>
      </c>
      <c r="AB14" s="4160">
        <v>17360</v>
      </c>
      <c r="AC14" s="2602">
        <v>21116</v>
      </c>
      <c r="AD14" s="4160">
        <v>21116</v>
      </c>
      <c r="AE14" s="2602"/>
      <c r="AF14" s="4160"/>
      <c r="AG14" s="2602">
        <v>4451</v>
      </c>
      <c r="AH14" s="4160">
        <v>4451</v>
      </c>
      <c r="AI14" s="2602"/>
      <c r="AJ14" s="4160"/>
      <c r="AK14" s="2602">
        <v>247</v>
      </c>
      <c r="AL14" s="4160">
        <v>247</v>
      </c>
      <c r="AM14" s="2602">
        <v>217</v>
      </c>
      <c r="AN14" s="4160">
        <v>217</v>
      </c>
      <c r="AO14" s="2602">
        <v>60</v>
      </c>
      <c r="AP14" s="4160">
        <v>60</v>
      </c>
      <c r="AQ14" s="2602">
        <v>2484</v>
      </c>
      <c r="AR14" s="4160">
        <v>2484</v>
      </c>
      <c r="AS14" s="2602">
        <v>4575</v>
      </c>
      <c r="AT14" s="4160">
        <v>4575</v>
      </c>
      <c r="AU14" s="2602">
        <v>56</v>
      </c>
      <c r="AV14" s="4160">
        <v>56</v>
      </c>
      <c r="AW14" s="2600">
        <v>21</v>
      </c>
      <c r="AX14" s="4171">
        <f>+U14+U18+U19</f>
        <v>4950478143</v>
      </c>
      <c r="AY14" s="2590">
        <f>+V14+V18+V19</f>
        <v>4897478143</v>
      </c>
      <c r="AZ14" s="2620">
        <f>+AX14/P14</f>
        <v>0.6517753869911459</v>
      </c>
      <c r="BA14" s="2600" t="s">
        <v>1226</v>
      </c>
      <c r="BB14" s="2600" t="s">
        <v>1227</v>
      </c>
      <c r="BC14" s="2593">
        <v>42583</v>
      </c>
      <c r="BD14" s="2613">
        <v>42583</v>
      </c>
      <c r="BE14" s="2593">
        <v>42735</v>
      </c>
      <c r="BF14" s="2613">
        <v>42735</v>
      </c>
      <c r="BG14" s="2600" t="s">
        <v>1228</v>
      </c>
      <c r="BH14" s="530"/>
      <c r="BI14" s="530"/>
      <c r="BJ14" s="530"/>
    </row>
    <row r="15" spans="1:62" s="24" customFormat="1" x14ac:dyDescent="0.2">
      <c r="A15" s="3416"/>
      <c r="B15" s="3417"/>
      <c r="C15" s="3423"/>
      <c r="D15" s="2983"/>
      <c r="E15" s="3415"/>
      <c r="F15" s="3417"/>
      <c r="G15" s="2601"/>
      <c r="H15" s="2987"/>
      <c r="I15" s="2601"/>
      <c r="J15" s="2603"/>
      <c r="K15" s="4205"/>
      <c r="L15" s="529" t="s">
        <v>1229</v>
      </c>
      <c r="M15" s="2601"/>
      <c r="N15" s="2604"/>
      <c r="O15" s="4192"/>
      <c r="P15" s="4200"/>
      <c r="Q15" s="2601"/>
      <c r="R15" s="2987"/>
      <c r="S15" s="2987"/>
      <c r="T15" s="4195"/>
      <c r="U15" s="4168"/>
      <c r="V15" s="4168"/>
      <c r="W15" s="2443">
        <v>20</v>
      </c>
      <c r="X15" s="2195" t="s">
        <v>130</v>
      </c>
      <c r="Y15" s="2603"/>
      <c r="Z15" s="4161"/>
      <c r="AA15" s="2603"/>
      <c r="AB15" s="4161"/>
      <c r="AC15" s="2603"/>
      <c r="AD15" s="4161"/>
      <c r="AE15" s="2603"/>
      <c r="AF15" s="4161"/>
      <c r="AG15" s="2603"/>
      <c r="AH15" s="4161"/>
      <c r="AI15" s="2603"/>
      <c r="AJ15" s="4161"/>
      <c r="AK15" s="2603"/>
      <c r="AL15" s="4161"/>
      <c r="AM15" s="2603"/>
      <c r="AN15" s="4161"/>
      <c r="AO15" s="2603"/>
      <c r="AP15" s="4161"/>
      <c r="AQ15" s="2603"/>
      <c r="AR15" s="4161"/>
      <c r="AS15" s="2603"/>
      <c r="AT15" s="4161"/>
      <c r="AU15" s="2603"/>
      <c r="AV15" s="4161"/>
      <c r="AW15" s="2601"/>
      <c r="AX15" s="4172"/>
      <c r="AY15" s="2601"/>
      <c r="AZ15" s="2966"/>
      <c r="BA15" s="2601"/>
      <c r="BB15" s="2601"/>
      <c r="BC15" s="2594"/>
      <c r="BD15" s="2614"/>
      <c r="BE15" s="2594"/>
      <c r="BF15" s="2614"/>
      <c r="BG15" s="2601"/>
      <c r="BH15" s="530"/>
      <c r="BI15" s="530"/>
      <c r="BJ15" s="530"/>
    </row>
    <row r="16" spans="1:62" s="24" customFormat="1" x14ac:dyDescent="0.2">
      <c r="A16" s="3416"/>
      <c r="B16" s="3417"/>
      <c r="C16" s="3423"/>
      <c r="D16" s="2983"/>
      <c r="E16" s="3415"/>
      <c r="F16" s="3417"/>
      <c r="G16" s="2601"/>
      <c r="H16" s="2987"/>
      <c r="I16" s="2601"/>
      <c r="J16" s="2603"/>
      <c r="K16" s="4205"/>
      <c r="L16" s="529" t="s">
        <v>1230</v>
      </c>
      <c r="M16" s="2601"/>
      <c r="N16" s="2604"/>
      <c r="O16" s="4192"/>
      <c r="P16" s="4200"/>
      <c r="Q16" s="2601"/>
      <c r="R16" s="2987"/>
      <c r="S16" s="2987"/>
      <c r="T16" s="4195"/>
      <c r="U16" s="4168"/>
      <c r="V16" s="4168"/>
      <c r="W16" s="4177">
        <v>35</v>
      </c>
      <c r="X16" s="2987" t="s">
        <v>1231</v>
      </c>
      <c r="Y16" s="2603"/>
      <c r="Z16" s="4161"/>
      <c r="AA16" s="2603"/>
      <c r="AB16" s="4161"/>
      <c r="AC16" s="2603"/>
      <c r="AD16" s="4161"/>
      <c r="AE16" s="2603"/>
      <c r="AF16" s="4161"/>
      <c r="AG16" s="2603"/>
      <c r="AH16" s="4161"/>
      <c r="AI16" s="2603"/>
      <c r="AJ16" s="4161"/>
      <c r="AK16" s="2603"/>
      <c r="AL16" s="4161"/>
      <c r="AM16" s="2603"/>
      <c r="AN16" s="4161"/>
      <c r="AO16" s="2603"/>
      <c r="AP16" s="4161"/>
      <c r="AQ16" s="2603"/>
      <c r="AR16" s="4161"/>
      <c r="AS16" s="2603"/>
      <c r="AT16" s="4161"/>
      <c r="AU16" s="2603"/>
      <c r="AV16" s="4161"/>
      <c r="AW16" s="2601"/>
      <c r="AX16" s="4172"/>
      <c r="AY16" s="2601"/>
      <c r="AZ16" s="2966"/>
      <c r="BA16" s="2601"/>
      <c r="BB16" s="2601"/>
      <c r="BC16" s="2594"/>
      <c r="BD16" s="2614"/>
      <c r="BE16" s="2594"/>
      <c r="BF16" s="2614"/>
      <c r="BG16" s="2601"/>
      <c r="BH16" s="530"/>
      <c r="BI16" s="530"/>
      <c r="BJ16" s="530"/>
    </row>
    <row r="17" spans="1:62" s="24" customFormat="1" x14ac:dyDescent="0.2">
      <c r="A17" s="3416"/>
      <c r="B17" s="3417"/>
      <c r="C17" s="3423"/>
      <c r="D17" s="2983"/>
      <c r="E17" s="3415"/>
      <c r="F17" s="3417"/>
      <c r="G17" s="2636"/>
      <c r="H17" s="2988"/>
      <c r="I17" s="2636"/>
      <c r="J17" s="3435"/>
      <c r="K17" s="4206"/>
      <c r="L17" s="529" t="s">
        <v>1232</v>
      </c>
      <c r="M17" s="2601"/>
      <c r="N17" s="2604"/>
      <c r="O17" s="4193"/>
      <c r="P17" s="4200"/>
      <c r="Q17" s="2601"/>
      <c r="R17" s="2988"/>
      <c r="S17" s="2988"/>
      <c r="T17" s="4196"/>
      <c r="U17" s="4168"/>
      <c r="V17" s="4168"/>
      <c r="W17" s="4177"/>
      <c r="X17" s="2987"/>
      <c r="Y17" s="2603"/>
      <c r="Z17" s="4161"/>
      <c r="AA17" s="2603"/>
      <c r="AB17" s="4161"/>
      <c r="AC17" s="2603"/>
      <c r="AD17" s="4161"/>
      <c r="AE17" s="2603"/>
      <c r="AF17" s="4161"/>
      <c r="AG17" s="2603"/>
      <c r="AH17" s="4161"/>
      <c r="AI17" s="2603"/>
      <c r="AJ17" s="4161"/>
      <c r="AK17" s="2603"/>
      <c r="AL17" s="4161"/>
      <c r="AM17" s="2603"/>
      <c r="AN17" s="4161"/>
      <c r="AO17" s="2603"/>
      <c r="AP17" s="4161"/>
      <c r="AQ17" s="2603"/>
      <c r="AR17" s="4161"/>
      <c r="AS17" s="2603"/>
      <c r="AT17" s="4161"/>
      <c r="AU17" s="2603"/>
      <c r="AV17" s="4161"/>
      <c r="AW17" s="2601"/>
      <c r="AX17" s="4172"/>
      <c r="AY17" s="2601"/>
      <c r="AZ17" s="2966"/>
      <c r="BA17" s="2601"/>
      <c r="BB17" s="2601"/>
      <c r="BC17" s="2594"/>
      <c r="BD17" s="2614"/>
      <c r="BE17" s="2594"/>
      <c r="BF17" s="2614"/>
      <c r="BG17" s="2601"/>
      <c r="BH17" s="530"/>
      <c r="BI17" s="530"/>
      <c r="BJ17" s="530"/>
    </row>
    <row r="18" spans="1:62" ht="105" customHeight="1" x14ac:dyDescent="0.2">
      <c r="A18" s="3416"/>
      <c r="B18" s="3417"/>
      <c r="C18" s="3423"/>
      <c r="D18" s="2983"/>
      <c r="E18" s="3415"/>
      <c r="F18" s="3417"/>
      <c r="G18" s="2137">
        <v>66</v>
      </c>
      <c r="H18" s="2129" t="s">
        <v>1233</v>
      </c>
      <c r="I18" s="2137" t="s">
        <v>59</v>
      </c>
      <c r="J18" s="2290">
        <v>1</v>
      </c>
      <c r="K18" s="531">
        <v>1</v>
      </c>
      <c r="L18" s="529" t="s">
        <v>1234</v>
      </c>
      <c r="M18" s="2601"/>
      <c r="N18" s="2604"/>
      <c r="O18" s="2299">
        <v>0.13089999999999999</v>
      </c>
      <c r="P18" s="4200"/>
      <c r="Q18" s="2601"/>
      <c r="R18" s="2129" t="s">
        <v>1235</v>
      </c>
      <c r="S18" s="2129" t="s">
        <v>1233</v>
      </c>
      <c r="T18" s="2453">
        <v>4358578229</v>
      </c>
      <c r="U18" s="2432">
        <v>2405449306</v>
      </c>
      <c r="V18" s="2432">
        <v>2405449306</v>
      </c>
      <c r="W18" s="2443" t="s">
        <v>1236</v>
      </c>
      <c r="X18" s="2195" t="s">
        <v>1237</v>
      </c>
      <c r="Y18" s="2603"/>
      <c r="Z18" s="4161"/>
      <c r="AA18" s="2603"/>
      <c r="AB18" s="4161"/>
      <c r="AC18" s="2603"/>
      <c r="AD18" s="4161"/>
      <c r="AE18" s="2603"/>
      <c r="AF18" s="4161"/>
      <c r="AG18" s="2603"/>
      <c r="AH18" s="4161"/>
      <c r="AI18" s="2603"/>
      <c r="AJ18" s="4161"/>
      <c r="AK18" s="2603"/>
      <c r="AL18" s="4161"/>
      <c r="AM18" s="2603"/>
      <c r="AN18" s="4161"/>
      <c r="AO18" s="2603"/>
      <c r="AP18" s="4161"/>
      <c r="AQ18" s="2603"/>
      <c r="AR18" s="4161"/>
      <c r="AS18" s="2603"/>
      <c r="AT18" s="4161"/>
      <c r="AU18" s="2603"/>
      <c r="AV18" s="4161"/>
      <c r="AW18" s="2601"/>
      <c r="AX18" s="4172"/>
      <c r="AY18" s="2601"/>
      <c r="AZ18" s="2966"/>
      <c r="BA18" s="2601"/>
      <c r="BB18" s="2601"/>
      <c r="BC18" s="2594"/>
      <c r="BD18" s="2614"/>
      <c r="BE18" s="2594"/>
      <c r="BF18" s="2614"/>
      <c r="BG18" s="3943"/>
    </row>
    <row r="19" spans="1:62" ht="54" customHeight="1" x14ac:dyDescent="0.2">
      <c r="A19" s="3416"/>
      <c r="B19" s="3417"/>
      <c r="C19" s="3423"/>
      <c r="D19" s="2983"/>
      <c r="E19" s="3415"/>
      <c r="F19" s="3417"/>
      <c r="G19" s="2137">
        <v>67</v>
      </c>
      <c r="H19" s="2129" t="s">
        <v>1238</v>
      </c>
      <c r="I19" s="2137" t="s">
        <v>59</v>
      </c>
      <c r="J19" s="2290">
        <v>1</v>
      </c>
      <c r="K19" s="531">
        <v>1</v>
      </c>
      <c r="L19" s="529" t="s">
        <v>1239</v>
      </c>
      <c r="M19" s="2636"/>
      <c r="N19" s="2604"/>
      <c r="O19" s="2299">
        <v>0.1804</v>
      </c>
      <c r="P19" s="4201"/>
      <c r="Q19" s="2636"/>
      <c r="R19" s="2129" t="s">
        <v>1240</v>
      </c>
      <c r="S19" s="2129" t="s">
        <v>1238</v>
      </c>
      <c r="T19" s="2453">
        <v>1020000000</v>
      </c>
      <c r="U19" s="2432">
        <v>994920199</v>
      </c>
      <c r="V19" s="2432">
        <v>994920199</v>
      </c>
      <c r="W19" s="2447">
        <v>81</v>
      </c>
      <c r="X19" s="2196" t="s">
        <v>1226</v>
      </c>
      <c r="Y19" s="3435"/>
      <c r="Z19" s="4162"/>
      <c r="AA19" s="3435"/>
      <c r="AB19" s="4162"/>
      <c r="AC19" s="3435"/>
      <c r="AD19" s="4162"/>
      <c r="AE19" s="3435"/>
      <c r="AF19" s="4162"/>
      <c r="AG19" s="3435"/>
      <c r="AH19" s="4162"/>
      <c r="AI19" s="3435"/>
      <c r="AJ19" s="4162"/>
      <c r="AK19" s="3435"/>
      <c r="AL19" s="4162"/>
      <c r="AM19" s="3435"/>
      <c r="AN19" s="4162"/>
      <c r="AO19" s="3435"/>
      <c r="AP19" s="4162"/>
      <c r="AQ19" s="3435"/>
      <c r="AR19" s="4162"/>
      <c r="AS19" s="3435"/>
      <c r="AT19" s="4162"/>
      <c r="AU19" s="3435"/>
      <c r="AV19" s="4162"/>
      <c r="AW19" s="2636"/>
      <c r="AX19" s="4173"/>
      <c r="AY19" s="2636"/>
      <c r="AZ19" s="2967"/>
      <c r="BA19" s="2636"/>
      <c r="BB19" s="2636"/>
      <c r="BC19" s="3400"/>
      <c r="BD19" s="2632"/>
      <c r="BE19" s="3400"/>
      <c r="BF19" s="2632"/>
      <c r="BG19" s="4163"/>
    </row>
    <row r="20" spans="1:62" ht="102" customHeight="1" x14ac:dyDescent="0.2">
      <c r="A20" s="3416"/>
      <c r="B20" s="3417"/>
      <c r="C20" s="3423"/>
      <c r="D20" s="2983"/>
      <c r="E20" s="3415"/>
      <c r="F20" s="3417"/>
      <c r="G20" s="2137">
        <v>65</v>
      </c>
      <c r="H20" s="2129" t="s">
        <v>1220</v>
      </c>
      <c r="I20" s="2137" t="s">
        <v>59</v>
      </c>
      <c r="J20" s="2290">
        <v>1</v>
      </c>
      <c r="K20" s="531">
        <v>1</v>
      </c>
      <c r="L20" s="2137" t="s">
        <v>1241</v>
      </c>
      <c r="M20" s="2600">
        <v>85</v>
      </c>
      <c r="N20" s="2604" t="s">
        <v>1242</v>
      </c>
      <c r="O20" s="2299">
        <v>0.25</v>
      </c>
      <c r="P20" s="4156">
        <v>5857306172</v>
      </c>
      <c r="Q20" s="2600" t="s">
        <v>1243</v>
      </c>
      <c r="R20" s="2129" t="s">
        <v>1235</v>
      </c>
      <c r="S20" s="2129" t="s">
        <v>1220</v>
      </c>
      <c r="T20" s="2453">
        <v>1459029622</v>
      </c>
      <c r="U20" s="2432">
        <v>1448793777</v>
      </c>
      <c r="V20" s="2432">
        <v>1448793777</v>
      </c>
      <c r="W20" s="2446">
        <v>20</v>
      </c>
      <c r="X20" s="2130" t="s">
        <v>1244</v>
      </c>
      <c r="Y20" s="2602">
        <v>2732</v>
      </c>
      <c r="Z20" s="4160">
        <v>2732</v>
      </c>
      <c r="AA20" s="4164">
        <v>17360</v>
      </c>
      <c r="AB20" s="4160">
        <v>17360</v>
      </c>
      <c r="AC20" s="2602">
        <v>21116</v>
      </c>
      <c r="AD20" s="4160">
        <v>21116</v>
      </c>
      <c r="AE20" s="2602"/>
      <c r="AF20" s="4160"/>
      <c r="AG20" s="2602">
        <v>4451</v>
      </c>
      <c r="AH20" s="4160">
        <v>4451</v>
      </c>
      <c r="AI20" s="2602"/>
      <c r="AJ20" s="4160"/>
      <c r="AK20" s="2602">
        <v>247</v>
      </c>
      <c r="AL20" s="4160">
        <v>247</v>
      </c>
      <c r="AM20" s="2602">
        <v>217</v>
      </c>
      <c r="AN20" s="4160">
        <v>217</v>
      </c>
      <c r="AO20" s="2602">
        <v>60</v>
      </c>
      <c r="AP20" s="4160">
        <v>60</v>
      </c>
      <c r="AQ20" s="2602">
        <v>2484</v>
      </c>
      <c r="AR20" s="4160">
        <v>2484</v>
      </c>
      <c r="AS20" s="2602">
        <v>4575</v>
      </c>
      <c r="AT20" s="4160">
        <v>4575</v>
      </c>
      <c r="AU20" s="2602">
        <v>56</v>
      </c>
      <c r="AV20" s="4160">
        <v>56</v>
      </c>
      <c r="AW20" s="2600">
        <v>1</v>
      </c>
      <c r="AX20" s="4171">
        <f>+U20+U21</f>
        <v>5784626288</v>
      </c>
      <c r="AY20" s="2590">
        <f>+V20+V21</f>
        <v>5784626288</v>
      </c>
      <c r="AZ20" s="2620">
        <f>+AY20/AX20</f>
        <v>1</v>
      </c>
      <c r="BA20" s="2600" t="s">
        <v>1245</v>
      </c>
      <c r="BB20" s="2600" t="s">
        <v>1246</v>
      </c>
      <c r="BC20" s="2593">
        <v>42583</v>
      </c>
      <c r="BD20" s="2613">
        <v>42583</v>
      </c>
      <c r="BE20" s="2593">
        <v>42735</v>
      </c>
      <c r="BF20" s="2593">
        <v>42735</v>
      </c>
      <c r="BG20" s="2600" t="s">
        <v>1228</v>
      </c>
    </row>
    <row r="21" spans="1:62" ht="128.25" customHeight="1" x14ac:dyDescent="0.2">
      <c r="A21" s="3416"/>
      <c r="B21" s="3417"/>
      <c r="C21" s="3423"/>
      <c r="D21" s="2983"/>
      <c r="E21" s="3418"/>
      <c r="F21" s="3420"/>
      <c r="G21" s="2137">
        <v>66</v>
      </c>
      <c r="H21" s="2129" t="s">
        <v>1233</v>
      </c>
      <c r="I21" s="2137" t="s">
        <v>59</v>
      </c>
      <c r="J21" s="2290">
        <v>1</v>
      </c>
      <c r="K21" s="531">
        <v>1</v>
      </c>
      <c r="L21" s="529" t="s">
        <v>1247</v>
      </c>
      <c r="M21" s="2636"/>
      <c r="N21" s="2604"/>
      <c r="O21" s="2299">
        <v>0.75</v>
      </c>
      <c r="P21" s="4201"/>
      <c r="Q21" s="2636"/>
      <c r="R21" s="2129" t="s">
        <v>1248</v>
      </c>
      <c r="S21" s="2129" t="s">
        <v>1233</v>
      </c>
      <c r="T21" s="2453">
        <v>4398276550</v>
      </c>
      <c r="U21" s="2432">
        <v>4335832511</v>
      </c>
      <c r="V21" s="2432">
        <v>4335832511</v>
      </c>
      <c r="W21" s="2447">
        <v>81</v>
      </c>
      <c r="X21" s="2196" t="s">
        <v>1226</v>
      </c>
      <c r="Y21" s="3435"/>
      <c r="Z21" s="4162"/>
      <c r="AA21" s="3435"/>
      <c r="AB21" s="4162"/>
      <c r="AC21" s="3435"/>
      <c r="AD21" s="4162"/>
      <c r="AE21" s="3435"/>
      <c r="AF21" s="4162"/>
      <c r="AG21" s="3435"/>
      <c r="AH21" s="4162"/>
      <c r="AI21" s="3435"/>
      <c r="AJ21" s="4162"/>
      <c r="AK21" s="3435"/>
      <c r="AL21" s="4162"/>
      <c r="AM21" s="3435"/>
      <c r="AN21" s="4162"/>
      <c r="AO21" s="3435"/>
      <c r="AP21" s="4162"/>
      <c r="AQ21" s="3435"/>
      <c r="AR21" s="4162"/>
      <c r="AS21" s="3435"/>
      <c r="AT21" s="4162"/>
      <c r="AU21" s="3435"/>
      <c r="AV21" s="4162"/>
      <c r="AW21" s="2636"/>
      <c r="AX21" s="4173"/>
      <c r="AY21" s="2636"/>
      <c r="AZ21" s="2967"/>
      <c r="BA21" s="2636"/>
      <c r="BB21" s="2636"/>
      <c r="BC21" s="3400"/>
      <c r="BD21" s="2632"/>
      <c r="BE21" s="3400"/>
      <c r="BF21" s="3400"/>
      <c r="BG21" s="4163"/>
    </row>
    <row r="22" spans="1:62" ht="15" x14ac:dyDescent="0.2">
      <c r="A22" s="3416"/>
      <c r="B22" s="3417"/>
      <c r="C22" s="3423"/>
      <c r="D22" s="2983"/>
      <c r="E22" s="524">
        <v>17</v>
      </c>
      <c r="F22" s="525" t="s">
        <v>1249</v>
      </c>
      <c r="G22" s="50"/>
      <c r="H22" s="412"/>
      <c r="I22" s="50"/>
      <c r="J22" s="50"/>
      <c r="K22" s="411"/>
      <c r="L22" s="50"/>
      <c r="M22" s="50"/>
      <c r="N22" s="50"/>
      <c r="O22" s="50"/>
      <c r="P22" s="50"/>
      <c r="Q22" s="50"/>
      <c r="R22" s="412"/>
      <c r="S22" s="412"/>
      <c r="T22" s="1493"/>
      <c r="U22" s="1740"/>
      <c r="V22" s="1740"/>
      <c r="W22" s="2520"/>
      <c r="X22" s="412"/>
      <c r="Y22" s="532"/>
      <c r="Z22" s="533"/>
      <c r="AA22" s="532"/>
      <c r="AB22" s="533"/>
      <c r="AC22" s="532"/>
      <c r="AD22" s="533"/>
      <c r="AE22" s="532"/>
      <c r="AF22" s="533"/>
      <c r="AG22" s="532"/>
      <c r="AH22" s="533"/>
      <c r="AI22" s="532"/>
      <c r="AJ22" s="533"/>
      <c r="AK22" s="532"/>
      <c r="AL22" s="533"/>
      <c r="AM22" s="532"/>
      <c r="AN22" s="533"/>
      <c r="AO22" s="532"/>
      <c r="AP22" s="533"/>
      <c r="AQ22" s="532"/>
      <c r="AR22" s="533"/>
      <c r="AS22" s="532"/>
      <c r="AT22" s="533"/>
      <c r="AU22" s="532"/>
      <c r="AV22" s="533"/>
      <c r="AW22" s="50"/>
      <c r="AX22" s="534"/>
      <c r="AY22" s="535"/>
      <c r="AZ22" s="50"/>
      <c r="BA22" s="50"/>
      <c r="BB22" s="50"/>
      <c r="BC22" s="50"/>
      <c r="BD22" s="411"/>
      <c r="BE22" s="50"/>
      <c r="BF22" s="411"/>
      <c r="BG22" s="527"/>
    </row>
    <row r="23" spans="1:62" ht="87" customHeight="1" x14ac:dyDescent="0.2">
      <c r="A23" s="3416"/>
      <c r="B23" s="3417"/>
      <c r="C23" s="3423"/>
      <c r="D23" s="2983"/>
      <c r="E23" s="3412"/>
      <c r="F23" s="3414"/>
      <c r="G23" s="2137">
        <v>68</v>
      </c>
      <c r="H23" s="2129" t="s">
        <v>1250</v>
      </c>
      <c r="I23" s="2137" t="s">
        <v>59</v>
      </c>
      <c r="J23" s="2290">
        <v>4500</v>
      </c>
      <c r="K23" s="2438">
        <v>4453</v>
      </c>
      <c r="L23" s="4207" t="s">
        <v>1251</v>
      </c>
      <c r="M23" s="2600">
        <v>86</v>
      </c>
      <c r="N23" s="2604" t="s">
        <v>1252</v>
      </c>
      <c r="O23" s="2299">
        <v>5.0000000000000001E-3</v>
      </c>
      <c r="P23" s="4156">
        <f>1102932022+44070000</f>
        <v>1147002022</v>
      </c>
      <c r="Q23" s="2605" t="s">
        <v>1253</v>
      </c>
      <c r="R23" s="536" t="s">
        <v>1254</v>
      </c>
      <c r="S23" s="2129" t="s">
        <v>1250</v>
      </c>
      <c r="T23" s="2453">
        <v>0</v>
      </c>
      <c r="U23" s="2432">
        <v>0</v>
      </c>
      <c r="V23" s="2432">
        <v>0</v>
      </c>
      <c r="W23" s="4164">
        <v>20</v>
      </c>
      <c r="X23" s="2605" t="s">
        <v>1244</v>
      </c>
      <c r="Y23" s="2602">
        <v>2732</v>
      </c>
      <c r="Z23" s="4160">
        <v>2732</v>
      </c>
      <c r="AA23" s="2602">
        <v>17360</v>
      </c>
      <c r="AB23" s="4160">
        <v>17360</v>
      </c>
      <c r="AC23" s="2602">
        <v>21116</v>
      </c>
      <c r="AD23" s="4160">
        <v>21116</v>
      </c>
      <c r="AE23" s="2602"/>
      <c r="AF23" s="4160"/>
      <c r="AG23" s="2602">
        <v>4451</v>
      </c>
      <c r="AH23" s="4160">
        <v>4451</v>
      </c>
      <c r="AI23" s="2602"/>
      <c r="AJ23" s="4160"/>
      <c r="AK23" s="2602">
        <v>247</v>
      </c>
      <c r="AL23" s="4160">
        <v>247</v>
      </c>
      <c r="AM23" s="2602">
        <v>217</v>
      </c>
      <c r="AN23" s="4160">
        <v>217</v>
      </c>
      <c r="AO23" s="2602">
        <v>60</v>
      </c>
      <c r="AP23" s="4160">
        <v>60</v>
      </c>
      <c r="AQ23" s="2602">
        <v>2484</v>
      </c>
      <c r="AR23" s="4160">
        <v>2484</v>
      </c>
      <c r="AS23" s="2602">
        <v>4575</v>
      </c>
      <c r="AT23" s="4160">
        <v>4575</v>
      </c>
      <c r="AU23" s="2602">
        <v>56</v>
      </c>
      <c r="AV23" s="4160">
        <v>56</v>
      </c>
      <c r="AW23" s="2600">
        <v>26</v>
      </c>
      <c r="AX23" s="4171">
        <v>1022117283</v>
      </c>
      <c r="AY23" s="4171">
        <v>539317283</v>
      </c>
      <c r="AZ23" s="2620">
        <f>+AX23/(T27+T28)</f>
        <v>0.89112073335124431</v>
      </c>
      <c r="BA23" s="2600" t="s">
        <v>1255</v>
      </c>
      <c r="BB23" s="2600" t="s">
        <v>1256</v>
      </c>
      <c r="BC23" s="2593">
        <v>42370</v>
      </c>
      <c r="BD23" s="2613">
        <v>42370</v>
      </c>
      <c r="BE23" s="2593">
        <v>42735</v>
      </c>
      <c r="BF23" s="2613">
        <v>42735</v>
      </c>
      <c r="BG23" s="2600" t="s">
        <v>1257</v>
      </c>
    </row>
    <row r="24" spans="1:62" ht="66.75" customHeight="1" x14ac:dyDescent="0.2">
      <c r="A24" s="3416"/>
      <c r="B24" s="3417"/>
      <c r="C24" s="3423"/>
      <c r="D24" s="2983"/>
      <c r="E24" s="3415"/>
      <c r="F24" s="3417"/>
      <c r="G24" s="2137">
        <v>69</v>
      </c>
      <c r="H24" s="2129" t="s">
        <v>1258</v>
      </c>
      <c r="I24" s="2137" t="s">
        <v>59</v>
      </c>
      <c r="J24" s="2135">
        <v>1</v>
      </c>
      <c r="K24" s="537">
        <v>0.75</v>
      </c>
      <c r="L24" s="4207"/>
      <c r="M24" s="2601"/>
      <c r="N24" s="2604"/>
      <c r="O24" s="2299">
        <v>5.0000000000000001E-3</v>
      </c>
      <c r="P24" s="4200"/>
      <c r="Q24" s="4175"/>
      <c r="R24" s="2129" t="s">
        <v>1259</v>
      </c>
      <c r="S24" s="2129" t="s">
        <v>1258</v>
      </c>
      <c r="T24" s="2453">
        <v>0</v>
      </c>
      <c r="U24" s="2432">
        <v>0</v>
      </c>
      <c r="V24" s="2432">
        <v>0</v>
      </c>
      <c r="W24" s="4177"/>
      <c r="X24" s="2987"/>
      <c r="Y24" s="2603"/>
      <c r="Z24" s="4161"/>
      <c r="AA24" s="2603"/>
      <c r="AB24" s="4161"/>
      <c r="AC24" s="2603"/>
      <c r="AD24" s="4161"/>
      <c r="AE24" s="2603"/>
      <c r="AF24" s="4161"/>
      <c r="AG24" s="2603"/>
      <c r="AH24" s="4161"/>
      <c r="AI24" s="2603"/>
      <c r="AJ24" s="4161"/>
      <c r="AK24" s="2603"/>
      <c r="AL24" s="4161"/>
      <c r="AM24" s="2603"/>
      <c r="AN24" s="4161"/>
      <c r="AO24" s="2603"/>
      <c r="AP24" s="4161"/>
      <c r="AQ24" s="2603"/>
      <c r="AR24" s="4161"/>
      <c r="AS24" s="2603"/>
      <c r="AT24" s="4161"/>
      <c r="AU24" s="2603"/>
      <c r="AV24" s="4161"/>
      <c r="AW24" s="2601"/>
      <c r="AX24" s="4172"/>
      <c r="AY24" s="4172"/>
      <c r="AZ24" s="2966"/>
      <c r="BA24" s="2601"/>
      <c r="BB24" s="2601"/>
      <c r="BC24" s="2594"/>
      <c r="BD24" s="2614"/>
      <c r="BE24" s="2594"/>
      <c r="BF24" s="2614"/>
      <c r="BG24" s="3943"/>
    </row>
    <row r="25" spans="1:62" ht="81" customHeight="1" x14ac:dyDescent="0.2">
      <c r="A25" s="3416"/>
      <c r="B25" s="3417"/>
      <c r="C25" s="3423"/>
      <c r="D25" s="2983"/>
      <c r="E25" s="3415"/>
      <c r="F25" s="3417"/>
      <c r="G25" s="2137">
        <v>70</v>
      </c>
      <c r="H25" s="2129" t="s">
        <v>1260</v>
      </c>
      <c r="I25" s="2137" t="s">
        <v>59</v>
      </c>
      <c r="J25" s="2290">
        <v>343</v>
      </c>
      <c r="K25" s="2438">
        <v>464</v>
      </c>
      <c r="L25" s="4207" t="s">
        <v>1261</v>
      </c>
      <c r="M25" s="2601"/>
      <c r="N25" s="2604"/>
      <c r="O25" s="2299">
        <v>0.01</v>
      </c>
      <c r="P25" s="4200"/>
      <c r="Q25" s="4175"/>
      <c r="R25" s="2129" t="s">
        <v>1262</v>
      </c>
      <c r="S25" s="2129" t="s">
        <v>1260</v>
      </c>
      <c r="T25" s="2453">
        <v>0</v>
      </c>
      <c r="U25" s="2432">
        <v>0</v>
      </c>
      <c r="V25" s="2432">
        <v>0</v>
      </c>
      <c r="W25" s="4177">
        <v>25</v>
      </c>
      <c r="X25" s="2987"/>
      <c r="Y25" s="2603"/>
      <c r="Z25" s="4161"/>
      <c r="AA25" s="2603"/>
      <c r="AB25" s="4161"/>
      <c r="AC25" s="2603"/>
      <c r="AD25" s="4161"/>
      <c r="AE25" s="2603"/>
      <c r="AF25" s="4161"/>
      <c r="AG25" s="2603"/>
      <c r="AH25" s="4161"/>
      <c r="AI25" s="2603"/>
      <c r="AJ25" s="4161"/>
      <c r="AK25" s="2603"/>
      <c r="AL25" s="4161"/>
      <c r="AM25" s="2603"/>
      <c r="AN25" s="4161"/>
      <c r="AO25" s="2603"/>
      <c r="AP25" s="4161"/>
      <c r="AQ25" s="2603"/>
      <c r="AR25" s="4161"/>
      <c r="AS25" s="2603"/>
      <c r="AT25" s="4161"/>
      <c r="AU25" s="2603"/>
      <c r="AV25" s="4161"/>
      <c r="AW25" s="2601"/>
      <c r="AX25" s="4172"/>
      <c r="AY25" s="4172"/>
      <c r="AZ25" s="2966"/>
      <c r="BA25" s="2601"/>
      <c r="BB25" s="2601"/>
      <c r="BC25" s="2594"/>
      <c r="BD25" s="2614"/>
      <c r="BE25" s="2594"/>
      <c r="BF25" s="2614"/>
      <c r="BG25" s="3943"/>
    </row>
    <row r="26" spans="1:62" ht="91.5" customHeight="1" x14ac:dyDescent="0.2">
      <c r="A26" s="3416"/>
      <c r="B26" s="3417"/>
      <c r="C26" s="3423"/>
      <c r="D26" s="2983"/>
      <c r="E26" s="3415"/>
      <c r="F26" s="3417"/>
      <c r="G26" s="2137">
        <v>71</v>
      </c>
      <c r="H26" s="2129" t="s">
        <v>1263</v>
      </c>
      <c r="I26" s="2137" t="s">
        <v>59</v>
      </c>
      <c r="J26" s="2290">
        <v>1863</v>
      </c>
      <c r="K26" s="2438">
        <v>2551</v>
      </c>
      <c r="L26" s="4207"/>
      <c r="M26" s="2601"/>
      <c r="N26" s="2604"/>
      <c r="O26" s="2299">
        <v>0.01</v>
      </c>
      <c r="P26" s="4200"/>
      <c r="Q26" s="4175"/>
      <c r="R26" s="2540" t="s">
        <v>1264</v>
      </c>
      <c r="S26" s="2129" t="s">
        <v>1263</v>
      </c>
      <c r="T26" s="2453">
        <v>0</v>
      </c>
      <c r="U26" s="2432">
        <v>0</v>
      </c>
      <c r="V26" s="2432">
        <v>0</v>
      </c>
      <c r="W26" s="4177"/>
      <c r="X26" s="2987"/>
      <c r="Y26" s="2603"/>
      <c r="Z26" s="4161"/>
      <c r="AA26" s="2603"/>
      <c r="AB26" s="4161"/>
      <c r="AC26" s="2603"/>
      <c r="AD26" s="4161"/>
      <c r="AE26" s="2603"/>
      <c r="AF26" s="4161"/>
      <c r="AG26" s="2603"/>
      <c r="AH26" s="4161"/>
      <c r="AI26" s="2603"/>
      <c r="AJ26" s="4161"/>
      <c r="AK26" s="2603"/>
      <c r="AL26" s="4161"/>
      <c r="AM26" s="2603"/>
      <c r="AN26" s="4161"/>
      <c r="AO26" s="2603"/>
      <c r="AP26" s="4161"/>
      <c r="AQ26" s="2603"/>
      <c r="AR26" s="4161"/>
      <c r="AS26" s="2603"/>
      <c r="AT26" s="4161"/>
      <c r="AU26" s="2603"/>
      <c r="AV26" s="4161"/>
      <c r="AW26" s="2601"/>
      <c r="AX26" s="4172"/>
      <c r="AY26" s="4172"/>
      <c r="AZ26" s="2966"/>
      <c r="BA26" s="2601"/>
      <c r="BB26" s="2601"/>
      <c r="BC26" s="2594"/>
      <c r="BD26" s="2614"/>
      <c r="BE26" s="2594"/>
      <c r="BF26" s="2614"/>
      <c r="BG26" s="3943"/>
    </row>
    <row r="27" spans="1:62" ht="107.25" customHeight="1" x14ac:dyDescent="0.2">
      <c r="A27" s="3416"/>
      <c r="B27" s="3417"/>
      <c r="C27" s="3423"/>
      <c r="D27" s="2983"/>
      <c r="E27" s="3415"/>
      <c r="F27" s="3417"/>
      <c r="G27" s="2137">
        <v>72</v>
      </c>
      <c r="H27" s="2129" t="s">
        <v>1265</v>
      </c>
      <c r="I27" s="2137" t="s">
        <v>59</v>
      </c>
      <c r="J27" s="2290">
        <v>455</v>
      </c>
      <c r="K27" s="2438">
        <v>445</v>
      </c>
      <c r="L27" s="2626" t="s">
        <v>1266</v>
      </c>
      <c r="M27" s="2601"/>
      <c r="N27" s="2604"/>
      <c r="O27" s="2299">
        <v>0.01</v>
      </c>
      <c r="P27" s="4200"/>
      <c r="Q27" s="4175"/>
      <c r="R27" s="2540" t="s">
        <v>1267</v>
      </c>
      <c r="S27" s="2129" t="s">
        <v>1265</v>
      </c>
      <c r="T27" s="2453">
        <v>50000000</v>
      </c>
      <c r="U27" s="2432">
        <v>47986000</v>
      </c>
      <c r="V27" s="2432">
        <v>7986000</v>
      </c>
      <c r="W27" s="4177"/>
      <c r="X27" s="2987"/>
      <c r="Y27" s="2603"/>
      <c r="Z27" s="4161"/>
      <c r="AA27" s="2603"/>
      <c r="AB27" s="4161"/>
      <c r="AC27" s="2603"/>
      <c r="AD27" s="4161"/>
      <c r="AE27" s="2603"/>
      <c r="AF27" s="4161"/>
      <c r="AG27" s="2603"/>
      <c r="AH27" s="4161"/>
      <c r="AI27" s="2603"/>
      <c r="AJ27" s="4161"/>
      <c r="AK27" s="2603"/>
      <c r="AL27" s="4161"/>
      <c r="AM27" s="2603"/>
      <c r="AN27" s="4161"/>
      <c r="AO27" s="2603"/>
      <c r="AP27" s="4161"/>
      <c r="AQ27" s="2603"/>
      <c r="AR27" s="4161"/>
      <c r="AS27" s="2603"/>
      <c r="AT27" s="4161"/>
      <c r="AU27" s="2603"/>
      <c r="AV27" s="4161"/>
      <c r="AW27" s="2601"/>
      <c r="AX27" s="4172"/>
      <c r="AY27" s="4172"/>
      <c r="AZ27" s="2966"/>
      <c r="BA27" s="2601"/>
      <c r="BB27" s="2601"/>
      <c r="BC27" s="2594"/>
      <c r="BD27" s="2614"/>
      <c r="BE27" s="2594"/>
      <c r="BF27" s="2614"/>
      <c r="BG27" s="3943"/>
    </row>
    <row r="28" spans="1:62" ht="85.5" customHeight="1" x14ac:dyDescent="0.2">
      <c r="A28" s="3416"/>
      <c r="B28" s="3417"/>
      <c r="C28" s="3423"/>
      <c r="D28" s="2983"/>
      <c r="E28" s="3418"/>
      <c r="F28" s="3420"/>
      <c r="G28" s="2137">
        <v>73</v>
      </c>
      <c r="H28" s="2129" t="s">
        <v>1268</v>
      </c>
      <c r="I28" s="2137" t="s">
        <v>59</v>
      </c>
      <c r="J28" s="2290">
        <v>1</v>
      </c>
      <c r="K28" s="2439">
        <v>1</v>
      </c>
      <c r="L28" s="2626"/>
      <c r="M28" s="2636"/>
      <c r="N28" s="2604"/>
      <c r="O28" s="2299">
        <v>0.95652173913043481</v>
      </c>
      <c r="P28" s="4201"/>
      <c r="Q28" s="4158"/>
      <c r="R28" s="2129" t="s">
        <v>1269</v>
      </c>
      <c r="S28" s="2129" t="s">
        <v>1268</v>
      </c>
      <c r="T28" s="2453">
        <v>1097002022</v>
      </c>
      <c r="U28" s="2432">
        <v>974131283</v>
      </c>
      <c r="V28" s="2432">
        <v>531331283</v>
      </c>
      <c r="W28" s="4165"/>
      <c r="X28" s="2195" t="s">
        <v>1270</v>
      </c>
      <c r="Y28" s="3435"/>
      <c r="Z28" s="4162"/>
      <c r="AA28" s="3435"/>
      <c r="AB28" s="4162"/>
      <c r="AC28" s="3435"/>
      <c r="AD28" s="4162"/>
      <c r="AE28" s="3435"/>
      <c r="AF28" s="4162"/>
      <c r="AG28" s="3435"/>
      <c r="AH28" s="4162"/>
      <c r="AI28" s="3435"/>
      <c r="AJ28" s="4162"/>
      <c r="AK28" s="3435"/>
      <c r="AL28" s="4162"/>
      <c r="AM28" s="3435"/>
      <c r="AN28" s="4162"/>
      <c r="AO28" s="3435"/>
      <c r="AP28" s="4162"/>
      <c r="AQ28" s="3435"/>
      <c r="AR28" s="4162"/>
      <c r="AS28" s="3435"/>
      <c r="AT28" s="4162"/>
      <c r="AU28" s="3435"/>
      <c r="AV28" s="4162"/>
      <c r="AW28" s="2636"/>
      <c r="AX28" s="4173"/>
      <c r="AY28" s="4173"/>
      <c r="AZ28" s="2967"/>
      <c r="BA28" s="2636"/>
      <c r="BB28" s="2636"/>
      <c r="BC28" s="3400"/>
      <c r="BD28" s="2632"/>
      <c r="BE28" s="3400"/>
      <c r="BF28" s="2632"/>
      <c r="BG28" s="4163"/>
    </row>
    <row r="29" spans="1:62" ht="15" x14ac:dyDescent="0.2">
      <c r="A29" s="3416"/>
      <c r="B29" s="3417"/>
      <c r="C29" s="3423"/>
      <c r="D29" s="2983"/>
      <c r="E29" s="43">
        <v>18</v>
      </c>
      <c r="F29" s="2193" t="s">
        <v>1271</v>
      </c>
      <c r="G29" s="2194"/>
      <c r="H29" s="412"/>
      <c r="I29" s="2194"/>
      <c r="J29" s="2194"/>
      <c r="K29" s="538"/>
      <c r="L29" s="2194"/>
      <c r="M29" s="2194"/>
      <c r="N29" s="2194"/>
      <c r="O29" s="2194"/>
      <c r="P29" s="2194"/>
      <c r="Q29" s="2194"/>
      <c r="R29" s="412"/>
      <c r="S29" s="412"/>
      <c r="T29" s="1741"/>
      <c r="U29" s="1742"/>
      <c r="V29" s="1742"/>
      <c r="W29" s="2520"/>
      <c r="X29" s="412"/>
      <c r="Y29" s="539"/>
      <c r="Z29" s="540"/>
      <c r="AA29" s="539"/>
      <c r="AB29" s="540"/>
      <c r="AC29" s="539"/>
      <c r="AD29" s="540"/>
      <c r="AE29" s="539"/>
      <c r="AF29" s="540"/>
      <c r="AG29" s="539"/>
      <c r="AH29" s="540"/>
      <c r="AI29" s="539"/>
      <c r="AJ29" s="540"/>
      <c r="AK29" s="539"/>
      <c r="AL29" s="540"/>
      <c r="AM29" s="539"/>
      <c r="AN29" s="540"/>
      <c r="AO29" s="539"/>
      <c r="AP29" s="540"/>
      <c r="AQ29" s="539"/>
      <c r="AR29" s="540"/>
      <c r="AS29" s="539"/>
      <c r="AT29" s="540"/>
      <c r="AU29" s="539"/>
      <c r="AV29" s="540"/>
      <c r="AW29" s="2194"/>
      <c r="AX29" s="541"/>
      <c r="AY29" s="2194"/>
      <c r="AZ29" s="2194"/>
      <c r="BA29" s="2194"/>
      <c r="BB29" s="2194"/>
      <c r="BC29" s="2194"/>
      <c r="BD29" s="538"/>
      <c r="BE29" s="2194"/>
      <c r="BF29" s="538"/>
      <c r="BG29" s="542"/>
    </row>
    <row r="30" spans="1:62" ht="188.25" customHeight="1" x14ac:dyDescent="0.2">
      <c r="A30" s="3416"/>
      <c r="B30" s="3417"/>
      <c r="C30" s="3423"/>
      <c r="D30" s="2983"/>
      <c r="E30" s="3412"/>
      <c r="F30" s="3414"/>
      <c r="G30" s="2137">
        <v>74</v>
      </c>
      <c r="H30" s="2129" t="s">
        <v>1272</v>
      </c>
      <c r="I30" s="2137" t="s">
        <v>59</v>
      </c>
      <c r="J30" s="2290">
        <v>2232</v>
      </c>
      <c r="K30" s="2438">
        <v>2232</v>
      </c>
      <c r="L30" s="2137" t="s">
        <v>1273</v>
      </c>
      <c r="M30" s="2137">
        <v>87</v>
      </c>
      <c r="N30" s="2129" t="s">
        <v>1274</v>
      </c>
      <c r="O30" s="2299">
        <v>1</v>
      </c>
      <c r="P30" s="543">
        <v>52668897211.709991</v>
      </c>
      <c r="Q30" s="2129" t="s">
        <v>1275</v>
      </c>
      <c r="R30" s="2129" t="s">
        <v>1276</v>
      </c>
      <c r="S30" s="2129" t="s">
        <v>1272</v>
      </c>
      <c r="T30" s="1727">
        <v>52751026009.709991</v>
      </c>
      <c r="U30" s="2432">
        <v>51818168738</v>
      </c>
      <c r="V30" s="2432">
        <v>51818168738</v>
      </c>
      <c r="W30" s="545">
        <v>25</v>
      </c>
      <c r="X30" s="2129" t="s">
        <v>1270</v>
      </c>
      <c r="Y30" s="2290">
        <v>2732</v>
      </c>
      <c r="Z30" s="2438">
        <v>2732</v>
      </c>
      <c r="AA30" s="2290">
        <v>17360</v>
      </c>
      <c r="AB30" s="2438">
        <v>17360</v>
      </c>
      <c r="AC30" s="2290">
        <v>21116</v>
      </c>
      <c r="AD30" s="2438">
        <v>21116</v>
      </c>
      <c r="AE30" s="2290"/>
      <c r="AF30" s="2438"/>
      <c r="AG30" s="2290">
        <v>4451</v>
      </c>
      <c r="AH30" s="2438">
        <v>4451</v>
      </c>
      <c r="AI30" s="2290"/>
      <c r="AJ30" s="2438"/>
      <c r="AK30" s="2290">
        <v>247</v>
      </c>
      <c r="AL30" s="2438">
        <v>247</v>
      </c>
      <c r="AM30" s="2290">
        <v>217</v>
      </c>
      <c r="AN30" s="2438">
        <v>217</v>
      </c>
      <c r="AO30" s="2290">
        <v>60</v>
      </c>
      <c r="AP30" s="2438">
        <v>60</v>
      </c>
      <c r="AQ30" s="2290">
        <v>2484</v>
      </c>
      <c r="AR30" s="2438">
        <v>2484</v>
      </c>
      <c r="AS30" s="2290">
        <v>4575</v>
      </c>
      <c r="AT30" s="2438">
        <v>4575</v>
      </c>
      <c r="AU30" s="2290">
        <v>56</v>
      </c>
      <c r="AV30" s="2438">
        <v>56</v>
      </c>
      <c r="AW30" s="2137" t="s">
        <v>1277</v>
      </c>
      <c r="AX30" s="544">
        <v>51818168737</v>
      </c>
      <c r="AY30" s="544">
        <v>51818168737</v>
      </c>
      <c r="AZ30" s="2126">
        <f>+AX30/T30</f>
        <v>0.98231584590339005</v>
      </c>
      <c r="BA30" s="2137" t="s">
        <v>1278</v>
      </c>
      <c r="BB30" s="2137" t="s">
        <v>1279</v>
      </c>
      <c r="BC30" s="2294">
        <v>42583</v>
      </c>
      <c r="BD30" s="2294">
        <v>42583</v>
      </c>
      <c r="BE30" s="2294">
        <v>42735</v>
      </c>
      <c r="BF30" s="2294">
        <v>42735</v>
      </c>
      <c r="BG30" s="2137" t="s">
        <v>1279</v>
      </c>
    </row>
    <row r="31" spans="1:62" ht="35.25" customHeight="1" x14ac:dyDescent="0.2">
      <c r="A31" s="3416"/>
      <c r="B31" s="3417"/>
      <c r="C31" s="3423"/>
      <c r="D31" s="2983"/>
      <c r="E31" s="3415"/>
      <c r="F31" s="3417"/>
      <c r="G31" s="2600">
        <v>74</v>
      </c>
      <c r="H31" s="2605" t="s">
        <v>1272</v>
      </c>
      <c r="I31" s="2600" t="s">
        <v>59</v>
      </c>
      <c r="J31" s="2602">
        <v>2232</v>
      </c>
      <c r="K31" s="4160">
        <v>2232</v>
      </c>
      <c r="L31" s="2137" t="s">
        <v>1280</v>
      </c>
      <c r="M31" s="2600">
        <v>88</v>
      </c>
      <c r="N31" s="2605" t="s">
        <v>1281</v>
      </c>
      <c r="O31" s="4191">
        <v>1</v>
      </c>
      <c r="P31" s="2590">
        <v>44801283847.129997</v>
      </c>
      <c r="Q31" s="2605" t="s">
        <v>1275</v>
      </c>
      <c r="R31" s="2605" t="s">
        <v>1282</v>
      </c>
      <c r="S31" s="2605" t="s">
        <v>1272</v>
      </c>
      <c r="T31" s="4194">
        <v>44801283847.129997</v>
      </c>
      <c r="U31" s="4197">
        <v>44801283847.129997</v>
      </c>
      <c r="V31" s="4197">
        <v>44801283847.129997</v>
      </c>
      <c r="W31" s="4164">
        <v>25</v>
      </c>
      <c r="X31" s="2605" t="s">
        <v>1270</v>
      </c>
      <c r="Y31" s="2602">
        <v>2732</v>
      </c>
      <c r="Z31" s="4160">
        <v>2732</v>
      </c>
      <c r="AA31" s="2602">
        <v>17360</v>
      </c>
      <c r="AB31" s="4160">
        <v>17360</v>
      </c>
      <c r="AC31" s="2602">
        <v>21116</v>
      </c>
      <c r="AD31" s="4160">
        <v>21116</v>
      </c>
      <c r="AE31" s="2602"/>
      <c r="AF31" s="4160"/>
      <c r="AG31" s="2602">
        <v>4451</v>
      </c>
      <c r="AH31" s="4160">
        <v>4451</v>
      </c>
      <c r="AI31" s="2602"/>
      <c r="AJ31" s="4160"/>
      <c r="AK31" s="2602">
        <v>247</v>
      </c>
      <c r="AL31" s="4160">
        <v>247</v>
      </c>
      <c r="AM31" s="2602">
        <v>217</v>
      </c>
      <c r="AN31" s="4160">
        <v>217</v>
      </c>
      <c r="AO31" s="2602">
        <v>60</v>
      </c>
      <c r="AP31" s="4160">
        <v>60</v>
      </c>
      <c r="AQ31" s="2602">
        <v>2484</v>
      </c>
      <c r="AR31" s="4160">
        <v>2484</v>
      </c>
      <c r="AS31" s="2602">
        <v>4575</v>
      </c>
      <c r="AT31" s="4160">
        <v>4575</v>
      </c>
      <c r="AU31" s="2602">
        <v>56</v>
      </c>
      <c r="AV31" s="4160">
        <v>56</v>
      </c>
      <c r="AW31" s="2600" t="s">
        <v>1277</v>
      </c>
      <c r="AX31" s="2638">
        <v>44801283847.129997</v>
      </c>
      <c r="AY31" s="2638">
        <v>44801283847.129997</v>
      </c>
      <c r="AZ31" s="2669">
        <f>+AX31/T31</f>
        <v>1</v>
      </c>
      <c r="BA31" s="2600" t="s">
        <v>1278</v>
      </c>
      <c r="BB31" s="2600" t="s">
        <v>1279</v>
      </c>
      <c r="BC31" s="2593">
        <v>42370</v>
      </c>
      <c r="BD31" s="2593">
        <v>42582</v>
      </c>
      <c r="BE31" s="2593">
        <v>42521</v>
      </c>
      <c r="BF31" s="2593">
        <v>42582</v>
      </c>
      <c r="BG31" s="2600" t="s">
        <v>1279</v>
      </c>
    </row>
    <row r="32" spans="1:62" ht="35.25" customHeight="1" x14ac:dyDescent="0.2">
      <c r="A32" s="3416"/>
      <c r="B32" s="3417"/>
      <c r="C32" s="3423"/>
      <c r="D32" s="2983"/>
      <c r="E32" s="3415"/>
      <c r="F32" s="3417"/>
      <c r="G32" s="2601"/>
      <c r="H32" s="2987"/>
      <c r="I32" s="2601"/>
      <c r="J32" s="2603"/>
      <c r="K32" s="4161"/>
      <c r="L32" s="2440" t="s">
        <v>1283</v>
      </c>
      <c r="M32" s="2601"/>
      <c r="N32" s="2987"/>
      <c r="O32" s="4192"/>
      <c r="P32" s="2591"/>
      <c r="Q32" s="2987"/>
      <c r="R32" s="2987"/>
      <c r="S32" s="2987"/>
      <c r="T32" s="4195"/>
      <c r="U32" s="4198"/>
      <c r="V32" s="4198"/>
      <c r="W32" s="4177"/>
      <c r="X32" s="2987"/>
      <c r="Y32" s="2603"/>
      <c r="Z32" s="4161"/>
      <c r="AA32" s="2603"/>
      <c r="AB32" s="4161"/>
      <c r="AC32" s="2603"/>
      <c r="AD32" s="4161"/>
      <c r="AE32" s="2603"/>
      <c r="AF32" s="4161"/>
      <c r="AG32" s="2603"/>
      <c r="AH32" s="4161"/>
      <c r="AI32" s="2603"/>
      <c r="AJ32" s="4161"/>
      <c r="AK32" s="2603"/>
      <c r="AL32" s="4161"/>
      <c r="AM32" s="2603"/>
      <c r="AN32" s="4161"/>
      <c r="AO32" s="2603"/>
      <c r="AP32" s="4161"/>
      <c r="AQ32" s="2603"/>
      <c r="AR32" s="4161"/>
      <c r="AS32" s="2603"/>
      <c r="AT32" s="4161"/>
      <c r="AU32" s="2603"/>
      <c r="AV32" s="4161"/>
      <c r="AW32" s="2601"/>
      <c r="AX32" s="2639"/>
      <c r="AY32" s="2639"/>
      <c r="AZ32" s="2670"/>
      <c r="BA32" s="2601"/>
      <c r="BB32" s="2601"/>
      <c r="BC32" s="2594"/>
      <c r="BD32" s="2594"/>
      <c r="BE32" s="2594"/>
      <c r="BF32" s="2594"/>
      <c r="BG32" s="2601"/>
    </row>
    <row r="33" spans="1:59" ht="35.25" customHeight="1" x14ac:dyDescent="0.2">
      <c r="A33" s="3416"/>
      <c r="B33" s="3417"/>
      <c r="C33" s="3423"/>
      <c r="D33" s="2983"/>
      <c r="E33" s="3415"/>
      <c r="F33" s="3417"/>
      <c r="G33" s="2601"/>
      <c r="H33" s="2987"/>
      <c r="I33" s="2601"/>
      <c r="J33" s="2603"/>
      <c r="K33" s="4161"/>
      <c r="L33" s="2440" t="s">
        <v>1284</v>
      </c>
      <c r="M33" s="2601"/>
      <c r="N33" s="2987"/>
      <c r="O33" s="4192"/>
      <c r="P33" s="2591"/>
      <c r="Q33" s="2987"/>
      <c r="R33" s="2987"/>
      <c r="S33" s="2987"/>
      <c r="T33" s="4195"/>
      <c r="U33" s="4198"/>
      <c r="V33" s="4198"/>
      <c r="W33" s="4177"/>
      <c r="X33" s="2987"/>
      <c r="Y33" s="2603"/>
      <c r="Z33" s="4161"/>
      <c r="AA33" s="2603"/>
      <c r="AB33" s="4161"/>
      <c r="AC33" s="2603"/>
      <c r="AD33" s="4161"/>
      <c r="AE33" s="2603"/>
      <c r="AF33" s="4161"/>
      <c r="AG33" s="2603"/>
      <c r="AH33" s="4161"/>
      <c r="AI33" s="2603"/>
      <c r="AJ33" s="4161"/>
      <c r="AK33" s="2603"/>
      <c r="AL33" s="4161"/>
      <c r="AM33" s="2603"/>
      <c r="AN33" s="4161"/>
      <c r="AO33" s="2603"/>
      <c r="AP33" s="4161"/>
      <c r="AQ33" s="2603"/>
      <c r="AR33" s="4161"/>
      <c r="AS33" s="2603"/>
      <c r="AT33" s="4161"/>
      <c r="AU33" s="2603"/>
      <c r="AV33" s="4161"/>
      <c r="AW33" s="2601"/>
      <c r="AX33" s="2639"/>
      <c r="AY33" s="2639"/>
      <c r="AZ33" s="2670"/>
      <c r="BA33" s="2601"/>
      <c r="BB33" s="2601"/>
      <c r="BC33" s="2594"/>
      <c r="BD33" s="2594"/>
      <c r="BE33" s="2594"/>
      <c r="BF33" s="2594"/>
      <c r="BG33" s="2601"/>
    </row>
    <row r="34" spans="1:59" ht="35.25" customHeight="1" x14ac:dyDescent="0.2">
      <c r="A34" s="3416"/>
      <c r="B34" s="3417"/>
      <c r="C34" s="3423"/>
      <c r="D34" s="2983"/>
      <c r="E34" s="3415"/>
      <c r="F34" s="3417"/>
      <c r="G34" s="2601"/>
      <c r="H34" s="2987"/>
      <c r="I34" s="2601"/>
      <c r="J34" s="2603"/>
      <c r="K34" s="4161"/>
      <c r="L34" s="2440" t="s">
        <v>1285</v>
      </c>
      <c r="M34" s="2601"/>
      <c r="N34" s="2987"/>
      <c r="O34" s="4192"/>
      <c r="P34" s="2591"/>
      <c r="Q34" s="2987"/>
      <c r="R34" s="2987"/>
      <c r="S34" s="2987"/>
      <c r="T34" s="4195"/>
      <c r="U34" s="4198"/>
      <c r="V34" s="4198"/>
      <c r="W34" s="4177"/>
      <c r="X34" s="2987"/>
      <c r="Y34" s="2603"/>
      <c r="Z34" s="4161"/>
      <c r="AA34" s="2603"/>
      <c r="AB34" s="4161"/>
      <c r="AC34" s="2603"/>
      <c r="AD34" s="4161"/>
      <c r="AE34" s="2603"/>
      <c r="AF34" s="4161"/>
      <c r="AG34" s="2603"/>
      <c r="AH34" s="4161"/>
      <c r="AI34" s="2603"/>
      <c r="AJ34" s="4161"/>
      <c r="AK34" s="2603"/>
      <c r="AL34" s="4161"/>
      <c r="AM34" s="2603"/>
      <c r="AN34" s="4161"/>
      <c r="AO34" s="2603"/>
      <c r="AP34" s="4161"/>
      <c r="AQ34" s="2603"/>
      <c r="AR34" s="4161"/>
      <c r="AS34" s="2603"/>
      <c r="AT34" s="4161"/>
      <c r="AU34" s="2603"/>
      <c r="AV34" s="4161"/>
      <c r="AW34" s="2601"/>
      <c r="AX34" s="2639"/>
      <c r="AY34" s="2639"/>
      <c r="AZ34" s="2670"/>
      <c r="BA34" s="2601"/>
      <c r="BB34" s="2601"/>
      <c r="BC34" s="2594"/>
      <c r="BD34" s="2594"/>
      <c r="BE34" s="2594"/>
      <c r="BF34" s="2594"/>
      <c r="BG34" s="2601"/>
    </row>
    <row r="35" spans="1:59" ht="35.25" customHeight="1" x14ac:dyDescent="0.2">
      <c r="A35" s="3416"/>
      <c r="B35" s="3417"/>
      <c r="C35" s="4202"/>
      <c r="D35" s="2984"/>
      <c r="E35" s="3418"/>
      <c r="F35" s="3420"/>
      <c r="G35" s="2636"/>
      <c r="H35" s="2988"/>
      <c r="I35" s="2636"/>
      <c r="J35" s="3435"/>
      <c r="K35" s="4162"/>
      <c r="L35" s="2440" t="s">
        <v>1286</v>
      </c>
      <c r="M35" s="2636"/>
      <c r="N35" s="2988"/>
      <c r="O35" s="4193"/>
      <c r="P35" s="3462"/>
      <c r="Q35" s="2988"/>
      <c r="R35" s="2987"/>
      <c r="S35" s="2988"/>
      <c r="T35" s="4196"/>
      <c r="U35" s="4199"/>
      <c r="V35" s="4199"/>
      <c r="W35" s="4165"/>
      <c r="X35" s="2988"/>
      <c r="Y35" s="3435"/>
      <c r="Z35" s="4162"/>
      <c r="AA35" s="3435"/>
      <c r="AB35" s="4162"/>
      <c r="AC35" s="3435"/>
      <c r="AD35" s="4162"/>
      <c r="AE35" s="3435"/>
      <c r="AF35" s="4162"/>
      <c r="AG35" s="3435"/>
      <c r="AH35" s="4162"/>
      <c r="AI35" s="3435"/>
      <c r="AJ35" s="4162"/>
      <c r="AK35" s="3435"/>
      <c r="AL35" s="4162"/>
      <c r="AM35" s="3435"/>
      <c r="AN35" s="4162"/>
      <c r="AO35" s="3435"/>
      <c r="AP35" s="4162"/>
      <c r="AQ35" s="3435"/>
      <c r="AR35" s="4162"/>
      <c r="AS35" s="3435"/>
      <c r="AT35" s="4162"/>
      <c r="AU35" s="3435"/>
      <c r="AV35" s="4162"/>
      <c r="AW35" s="2636"/>
      <c r="AX35" s="2640"/>
      <c r="AY35" s="2640"/>
      <c r="AZ35" s="2671"/>
      <c r="BA35" s="2636"/>
      <c r="BB35" s="2636"/>
      <c r="BC35" s="3400"/>
      <c r="BD35" s="3400"/>
      <c r="BE35" s="3400"/>
      <c r="BF35" s="3400"/>
      <c r="BG35" s="2636"/>
    </row>
    <row r="36" spans="1:59" ht="15" x14ac:dyDescent="0.2">
      <c r="A36" s="3416"/>
      <c r="B36" s="3417"/>
      <c r="C36" s="521">
        <v>6</v>
      </c>
      <c r="D36" s="546" t="s">
        <v>1287</v>
      </c>
      <c r="E36" s="547"/>
      <c r="F36" s="547"/>
      <c r="G36" s="547"/>
      <c r="H36" s="1569"/>
      <c r="I36" s="547"/>
      <c r="J36" s="547"/>
      <c r="K36" s="548"/>
      <c r="L36" s="547"/>
      <c r="M36" s="547"/>
      <c r="N36" s="547"/>
      <c r="O36" s="547"/>
      <c r="P36" s="547"/>
      <c r="Q36" s="547"/>
      <c r="R36" s="1569"/>
      <c r="S36" s="1569"/>
      <c r="T36" s="1743"/>
      <c r="U36" s="1744"/>
      <c r="V36" s="1744"/>
      <c r="W36" s="1575"/>
      <c r="X36" s="1569"/>
      <c r="Y36" s="549"/>
      <c r="Z36" s="550"/>
      <c r="AA36" s="549"/>
      <c r="AB36" s="550"/>
      <c r="AC36" s="549"/>
      <c r="AD36" s="550"/>
      <c r="AE36" s="549"/>
      <c r="AF36" s="550"/>
      <c r="AG36" s="549"/>
      <c r="AH36" s="550"/>
      <c r="AI36" s="549"/>
      <c r="AJ36" s="550"/>
      <c r="AK36" s="549"/>
      <c r="AL36" s="550"/>
      <c r="AM36" s="549"/>
      <c r="AN36" s="550"/>
      <c r="AO36" s="549"/>
      <c r="AP36" s="550"/>
      <c r="AQ36" s="549"/>
      <c r="AR36" s="550"/>
      <c r="AS36" s="549"/>
      <c r="AT36" s="550"/>
      <c r="AU36" s="549"/>
      <c r="AV36" s="550"/>
      <c r="AW36" s="547"/>
      <c r="AX36" s="551"/>
      <c r="AY36" s="547"/>
      <c r="AZ36" s="547"/>
      <c r="BA36" s="547"/>
      <c r="BB36" s="547"/>
      <c r="BC36" s="547"/>
      <c r="BD36" s="548"/>
      <c r="BE36" s="547"/>
      <c r="BF36" s="548"/>
      <c r="BG36" s="552"/>
    </row>
    <row r="37" spans="1:59" ht="15" x14ac:dyDescent="0.2">
      <c r="A37" s="3416"/>
      <c r="B37" s="3417"/>
      <c r="C37" s="3422"/>
      <c r="D37" s="2982"/>
      <c r="E37" s="553">
        <v>19</v>
      </c>
      <c r="F37" s="554" t="s">
        <v>1288</v>
      </c>
      <c r="G37" s="555"/>
      <c r="H37" s="1570"/>
      <c r="I37" s="555"/>
      <c r="J37" s="555"/>
      <c r="K37" s="556"/>
      <c r="L37" s="555"/>
      <c r="M37" s="555"/>
      <c r="N37" s="555"/>
      <c r="O37" s="555"/>
      <c r="P37" s="555"/>
      <c r="Q37" s="555"/>
      <c r="R37" s="1570"/>
      <c r="S37" s="1570"/>
      <c r="T37" s="1745"/>
      <c r="U37" s="1746"/>
      <c r="V37" s="1746"/>
      <c r="W37" s="1576"/>
      <c r="X37" s="1570"/>
      <c r="Y37" s="557"/>
      <c r="Z37" s="558"/>
      <c r="AA37" s="557"/>
      <c r="AB37" s="558"/>
      <c r="AC37" s="557"/>
      <c r="AD37" s="558"/>
      <c r="AE37" s="557"/>
      <c r="AF37" s="558"/>
      <c r="AG37" s="557"/>
      <c r="AH37" s="558"/>
      <c r="AI37" s="557"/>
      <c r="AJ37" s="558"/>
      <c r="AK37" s="557"/>
      <c r="AL37" s="558"/>
      <c r="AM37" s="557"/>
      <c r="AN37" s="558"/>
      <c r="AO37" s="557"/>
      <c r="AP37" s="558"/>
      <c r="AQ37" s="557"/>
      <c r="AR37" s="558"/>
      <c r="AS37" s="557"/>
      <c r="AT37" s="558"/>
      <c r="AU37" s="557"/>
      <c r="AV37" s="558"/>
      <c r="AW37" s="555"/>
      <c r="AX37" s="559"/>
      <c r="AY37" s="555"/>
      <c r="AZ37" s="555"/>
      <c r="BA37" s="555"/>
      <c r="BB37" s="555"/>
      <c r="BC37" s="555"/>
      <c r="BD37" s="556"/>
      <c r="BE37" s="555"/>
      <c r="BF37" s="556"/>
      <c r="BG37" s="560"/>
    </row>
    <row r="38" spans="1:59" ht="99.75" x14ac:dyDescent="0.2">
      <c r="A38" s="3416"/>
      <c r="B38" s="3417"/>
      <c r="C38" s="3423"/>
      <c r="D38" s="2983"/>
      <c r="E38" s="3412"/>
      <c r="F38" s="3414"/>
      <c r="G38" s="2137">
        <v>75</v>
      </c>
      <c r="H38" s="2129" t="s">
        <v>1289</v>
      </c>
      <c r="I38" s="2137" t="s">
        <v>59</v>
      </c>
      <c r="J38" s="2290">
        <v>23</v>
      </c>
      <c r="K38" s="561" t="s">
        <v>1290</v>
      </c>
      <c r="L38" s="2137"/>
      <c r="M38" s="2600">
        <v>89</v>
      </c>
      <c r="N38" s="2604" t="s">
        <v>1291</v>
      </c>
      <c r="O38" s="2299">
        <v>0</v>
      </c>
      <c r="P38" s="4156">
        <v>130000000</v>
      </c>
      <c r="Q38" s="4185" t="s">
        <v>1292</v>
      </c>
      <c r="R38" s="562" t="s">
        <v>1293</v>
      </c>
      <c r="S38" s="2452" t="s">
        <v>1289</v>
      </c>
      <c r="T38" s="2453">
        <v>0</v>
      </c>
      <c r="U38" s="2432">
        <v>0</v>
      </c>
      <c r="V38" s="2432">
        <v>0</v>
      </c>
      <c r="W38" s="2446"/>
      <c r="X38" s="2379"/>
      <c r="Y38" s="2602">
        <v>2732</v>
      </c>
      <c r="Z38" s="4160">
        <v>2732</v>
      </c>
      <c r="AA38" s="2602">
        <v>17360</v>
      </c>
      <c r="AB38" s="4160">
        <v>17360</v>
      </c>
      <c r="AC38" s="2602">
        <v>21116</v>
      </c>
      <c r="AD38" s="4160">
        <v>21116</v>
      </c>
      <c r="AE38" s="2602"/>
      <c r="AF38" s="4160"/>
      <c r="AG38" s="2602">
        <v>4451</v>
      </c>
      <c r="AH38" s="4160">
        <v>4451</v>
      </c>
      <c r="AI38" s="2602"/>
      <c r="AJ38" s="4160"/>
      <c r="AK38" s="2602">
        <v>247</v>
      </c>
      <c r="AL38" s="4160">
        <v>247</v>
      </c>
      <c r="AM38" s="2602">
        <v>217</v>
      </c>
      <c r="AN38" s="4160">
        <v>217</v>
      </c>
      <c r="AO38" s="2602">
        <v>60</v>
      </c>
      <c r="AP38" s="4160">
        <v>60</v>
      </c>
      <c r="AQ38" s="2602">
        <v>2484</v>
      </c>
      <c r="AR38" s="4160">
        <v>2484</v>
      </c>
      <c r="AS38" s="2602">
        <v>4575</v>
      </c>
      <c r="AT38" s="4160">
        <v>4575</v>
      </c>
      <c r="AU38" s="2602">
        <v>56</v>
      </c>
      <c r="AV38" s="4160">
        <v>56</v>
      </c>
      <c r="AW38" s="2600">
        <v>16</v>
      </c>
      <c r="AX38" s="4171">
        <v>122299600</v>
      </c>
      <c r="AY38" s="4171">
        <v>104230000</v>
      </c>
      <c r="AZ38" s="2620">
        <f>+AY38/AX38</f>
        <v>0.85225135650484551</v>
      </c>
      <c r="BA38" s="2600" t="s">
        <v>1294</v>
      </c>
      <c r="BB38" s="2600" t="s">
        <v>1295</v>
      </c>
      <c r="BC38" s="2593">
        <v>42583</v>
      </c>
      <c r="BD38" s="2613">
        <v>42583</v>
      </c>
      <c r="BE38" s="2593">
        <v>42735</v>
      </c>
      <c r="BF38" s="2613">
        <v>42735</v>
      </c>
      <c r="BG38" s="2600" t="s">
        <v>1228</v>
      </c>
    </row>
    <row r="39" spans="1:59" ht="97.5" customHeight="1" x14ac:dyDescent="0.2">
      <c r="A39" s="3416"/>
      <c r="B39" s="3417"/>
      <c r="C39" s="3423"/>
      <c r="D39" s="2983"/>
      <c r="E39" s="3415"/>
      <c r="F39" s="3417"/>
      <c r="G39" s="2097">
        <v>76</v>
      </c>
      <c r="H39" s="2130" t="s">
        <v>1296</v>
      </c>
      <c r="I39" s="2137" t="s">
        <v>59</v>
      </c>
      <c r="J39" s="2290">
        <v>450</v>
      </c>
      <c r="K39" s="563">
        <v>450</v>
      </c>
      <c r="L39" s="2537"/>
      <c r="M39" s="2601"/>
      <c r="N39" s="2604"/>
      <c r="O39" s="2435">
        <v>1</v>
      </c>
      <c r="P39" s="4174"/>
      <c r="Q39" s="4181"/>
      <c r="R39" s="2130" t="s">
        <v>1297</v>
      </c>
      <c r="S39" s="2454" t="s">
        <v>1296</v>
      </c>
      <c r="T39" s="2431">
        <v>130000000</v>
      </c>
      <c r="U39" s="2432">
        <v>122299600</v>
      </c>
      <c r="V39" s="2432">
        <v>104230000</v>
      </c>
      <c r="W39" s="2399">
        <v>35</v>
      </c>
      <c r="X39" s="2444" t="s">
        <v>1231</v>
      </c>
      <c r="Y39" s="2603"/>
      <c r="Z39" s="4161"/>
      <c r="AA39" s="2603"/>
      <c r="AB39" s="4161"/>
      <c r="AC39" s="2603"/>
      <c r="AD39" s="4161"/>
      <c r="AE39" s="2603"/>
      <c r="AF39" s="4161"/>
      <c r="AG39" s="2603"/>
      <c r="AH39" s="4161"/>
      <c r="AI39" s="2603"/>
      <c r="AJ39" s="4161"/>
      <c r="AK39" s="2603"/>
      <c r="AL39" s="4161"/>
      <c r="AM39" s="2603"/>
      <c r="AN39" s="4161"/>
      <c r="AO39" s="2603"/>
      <c r="AP39" s="4161"/>
      <c r="AQ39" s="2603"/>
      <c r="AR39" s="4161"/>
      <c r="AS39" s="2603"/>
      <c r="AT39" s="4161"/>
      <c r="AU39" s="2603"/>
      <c r="AV39" s="4161"/>
      <c r="AW39" s="2601"/>
      <c r="AX39" s="4172"/>
      <c r="AY39" s="4172"/>
      <c r="AZ39" s="2966"/>
      <c r="BA39" s="2601"/>
      <c r="BB39" s="2601"/>
      <c r="BC39" s="2594"/>
      <c r="BD39" s="2614"/>
      <c r="BE39" s="2594"/>
      <c r="BF39" s="2614"/>
      <c r="BG39" s="3943"/>
    </row>
    <row r="40" spans="1:59" ht="99.75" customHeight="1" x14ac:dyDescent="0.2">
      <c r="A40" s="3416"/>
      <c r="B40" s="3417"/>
      <c r="C40" s="3423"/>
      <c r="D40" s="2983"/>
      <c r="E40" s="3415"/>
      <c r="F40" s="3417"/>
      <c r="G40" s="2137">
        <v>77</v>
      </c>
      <c r="H40" s="2129" t="s">
        <v>1298</v>
      </c>
      <c r="I40" s="2137" t="s">
        <v>59</v>
      </c>
      <c r="J40" s="2290">
        <v>28</v>
      </c>
      <c r="K40" s="563">
        <v>75</v>
      </c>
      <c r="L40" s="2537" t="s">
        <v>1299</v>
      </c>
      <c r="M40" s="2601"/>
      <c r="N40" s="2604"/>
      <c r="O40" s="2299">
        <v>0</v>
      </c>
      <c r="P40" s="4174"/>
      <c r="Q40" s="4181"/>
      <c r="R40" s="565" t="s">
        <v>1300</v>
      </c>
      <c r="S40" s="2452" t="s">
        <v>1298</v>
      </c>
      <c r="T40" s="2453">
        <v>0</v>
      </c>
      <c r="U40" s="2432">
        <v>0</v>
      </c>
      <c r="V40" s="2432">
        <v>0</v>
      </c>
      <c r="W40" s="2443"/>
      <c r="X40" s="2444"/>
      <c r="Y40" s="2603"/>
      <c r="Z40" s="4161"/>
      <c r="AA40" s="2603"/>
      <c r="AB40" s="4161"/>
      <c r="AC40" s="2603"/>
      <c r="AD40" s="4161"/>
      <c r="AE40" s="2603"/>
      <c r="AF40" s="4161"/>
      <c r="AG40" s="2603"/>
      <c r="AH40" s="4161"/>
      <c r="AI40" s="2603"/>
      <c r="AJ40" s="4161"/>
      <c r="AK40" s="2603"/>
      <c r="AL40" s="4161"/>
      <c r="AM40" s="2603"/>
      <c r="AN40" s="4161"/>
      <c r="AO40" s="2603"/>
      <c r="AP40" s="4161"/>
      <c r="AQ40" s="2603"/>
      <c r="AR40" s="4161"/>
      <c r="AS40" s="2603"/>
      <c r="AT40" s="4161"/>
      <c r="AU40" s="2603"/>
      <c r="AV40" s="4161"/>
      <c r="AW40" s="2601"/>
      <c r="AX40" s="4172"/>
      <c r="AY40" s="4172"/>
      <c r="AZ40" s="2966"/>
      <c r="BA40" s="2601"/>
      <c r="BB40" s="2601"/>
      <c r="BC40" s="2594"/>
      <c r="BD40" s="2614"/>
      <c r="BE40" s="2594"/>
      <c r="BF40" s="2614"/>
      <c r="BG40" s="3943"/>
    </row>
    <row r="41" spans="1:59" ht="86.25" customHeight="1" x14ac:dyDescent="0.2">
      <c r="A41" s="3416"/>
      <c r="B41" s="3417"/>
      <c r="C41" s="3423"/>
      <c r="D41" s="2983"/>
      <c r="E41" s="3415"/>
      <c r="F41" s="3417"/>
      <c r="G41" s="2137">
        <v>78</v>
      </c>
      <c r="H41" s="2129" t="s">
        <v>1301</v>
      </c>
      <c r="I41" s="2137" t="s">
        <v>59</v>
      </c>
      <c r="J41" s="2290">
        <v>9</v>
      </c>
      <c r="K41" s="563">
        <v>9</v>
      </c>
      <c r="L41" s="2137" t="s">
        <v>1302</v>
      </c>
      <c r="M41" s="2601"/>
      <c r="N41" s="2604"/>
      <c r="O41" s="2299">
        <v>0</v>
      </c>
      <c r="P41" s="4174"/>
      <c r="Q41" s="4181"/>
      <c r="R41" s="566" t="s">
        <v>1303</v>
      </c>
      <c r="S41" s="2452" t="s">
        <v>1301</v>
      </c>
      <c r="T41" s="2453">
        <v>0</v>
      </c>
      <c r="U41" s="2432">
        <v>0</v>
      </c>
      <c r="V41" s="2432">
        <v>0</v>
      </c>
      <c r="W41" s="2443"/>
      <c r="X41" s="2444"/>
      <c r="Y41" s="2603"/>
      <c r="Z41" s="4161"/>
      <c r="AA41" s="2603"/>
      <c r="AB41" s="4161"/>
      <c r="AC41" s="2603"/>
      <c r="AD41" s="4161"/>
      <c r="AE41" s="2603"/>
      <c r="AF41" s="4161"/>
      <c r="AG41" s="2603"/>
      <c r="AH41" s="4161"/>
      <c r="AI41" s="2603"/>
      <c r="AJ41" s="4161"/>
      <c r="AK41" s="2603"/>
      <c r="AL41" s="4161"/>
      <c r="AM41" s="2603"/>
      <c r="AN41" s="4161"/>
      <c r="AO41" s="2603"/>
      <c r="AP41" s="4161"/>
      <c r="AQ41" s="2603"/>
      <c r="AR41" s="4161"/>
      <c r="AS41" s="2603"/>
      <c r="AT41" s="4161"/>
      <c r="AU41" s="2603"/>
      <c r="AV41" s="4161"/>
      <c r="AW41" s="2601"/>
      <c r="AX41" s="4172"/>
      <c r="AY41" s="4172"/>
      <c r="AZ41" s="2966"/>
      <c r="BA41" s="2601"/>
      <c r="BB41" s="2601"/>
      <c r="BC41" s="2594"/>
      <c r="BD41" s="2614"/>
      <c r="BE41" s="2594"/>
      <c r="BF41" s="2614"/>
      <c r="BG41" s="3943"/>
    </row>
    <row r="42" spans="1:59" ht="71.25" customHeight="1" x14ac:dyDescent="0.2">
      <c r="A42" s="3416"/>
      <c r="B42" s="3417"/>
      <c r="C42" s="3423"/>
      <c r="D42" s="2983"/>
      <c r="E42" s="3415"/>
      <c r="F42" s="3417"/>
      <c r="G42" s="2137">
        <v>79</v>
      </c>
      <c r="H42" s="2129" t="s">
        <v>1304</v>
      </c>
      <c r="I42" s="2137" t="s">
        <v>59</v>
      </c>
      <c r="J42" s="2290">
        <v>113</v>
      </c>
      <c r="K42" s="563">
        <v>123</v>
      </c>
      <c r="L42" s="567" t="s">
        <v>1305</v>
      </c>
      <c r="M42" s="2601"/>
      <c r="N42" s="2604"/>
      <c r="O42" s="2299">
        <v>0</v>
      </c>
      <c r="P42" s="4174"/>
      <c r="Q42" s="4181"/>
      <c r="R42" s="2540" t="s">
        <v>1297</v>
      </c>
      <c r="S42" s="2452" t="s">
        <v>1304</v>
      </c>
      <c r="T42" s="2453">
        <v>0</v>
      </c>
      <c r="U42" s="2432">
        <v>0</v>
      </c>
      <c r="V42" s="2432">
        <v>0</v>
      </c>
      <c r="W42" s="2443"/>
      <c r="X42" s="2444"/>
      <c r="Y42" s="2603"/>
      <c r="Z42" s="4161"/>
      <c r="AA42" s="2603"/>
      <c r="AB42" s="4161"/>
      <c r="AC42" s="2603"/>
      <c r="AD42" s="4161"/>
      <c r="AE42" s="2603"/>
      <c r="AF42" s="4161"/>
      <c r="AG42" s="2603"/>
      <c r="AH42" s="4161"/>
      <c r="AI42" s="2603"/>
      <c r="AJ42" s="4161"/>
      <c r="AK42" s="2603"/>
      <c r="AL42" s="4161"/>
      <c r="AM42" s="2603"/>
      <c r="AN42" s="4161"/>
      <c r="AO42" s="2603"/>
      <c r="AP42" s="4161"/>
      <c r="AQ42" s="2603"/>
      <c r="AR42" s="4161"/>
      <c r="AS42" s="2603"/>
      <c r="AT42" s="4161"/>
      <c r="AU42" s="2603"/>
      <c r="AV42" s="4161"/>
      <c r="AW42" s="2601"/>
      <c r="AX42" s="4172"/>
      <c r="AY42" s="4172"/>
      <c r="AZ42" s="2966"/>
      <c r="BA42" s="2601"/>
      <c r="BB42" s="2601"/>
      <c r="BC42" s="2594"/>
      <c r="BD42" s="2614"/>
      <c r="BE42" s="2594"/>
      <c r="BF42" s="2614"/>
      <c r="BG42" s="3943"/>
    </row>
    <row r="43" spans="1:59" ht="71.25" x14ac:dyDescent="0.2">
      <c r="A43" s="3416"/>
      <c r="B43" s="3417"/>
      <c r="C43" s="3423"/>
      <c r="D43" s="2983"/>
      <c r="E43" s="3415"/>
      <c r="F43" s="3417"/>
      <c r="G43" s="2137">
        <v>80</v>
      </c>
      <c r="H43" s="2129" t="s">
        <v>1306</v>
      </c>
      <c r="I43" s="2137" t="s">
        <v>59</v>
      </c>
      <c r="J43" s="2290">
        <v>3130</v>
      </c>
      <c r="K43" s="563">
        <v>3204</v>
      </c>
      <c r="L43" s="2137"/>
      <c r="M43" s="2601"/>
      <c r="N43" s="2604"/>
      <c r="O43" s="2299">
        <v>0</v>
      </c>
      <c r="P43" s="4174"/>
      <c r="Q43" s="4181"/>
      <c r="R43" s="565" t="s">
        <v>1303</v>
      </c>
      <c r="S43" s="2452" t="s">
        <v>1306</v>
      </c>
      <c r="T43" s="2453">
        <v>0</v>
      </c>
      <c r="U43" s="2432">
        <v>0</v>
      </c>
      <c r="V43" s="2432">
        <v>0</v>
      </c>
      <c r="W43" s="2443"/>
      <c r="X43" s="2444"/>
      <c r="Y43" s="2603"/>
      <c r="Z43" s="4161"/>
      <c r="AA43" s="2603"/>
      <c r="AB43" s="4161"/>
      <c r="AC43" s="2603"/>
      <c r="AD43" s="4161"/>
      <c r="AE43" s="2603"/>
      <c r="AF43" s="4161"/>
      <c r="AG43" s="2603"/>
      <c r="AH43" s="4161"/>
      <c r="AI43" s="2603"/>
      <c r="AJ43" s="4161"/>
      <c r="AK43" s="2603"/>
      <c r="AL43" s="4161"/>
      <c r="AM43" s="2603"/>
      <c r="AN43" s="4161"/>
      <c r="AO43" s="2603"/>
      <c r="AP43" s="4161"/>
      <c r="AQ43" s="2603"/>
      <c r="AR43" s="4161"/>
      <c r="AS43" s="2603"/>
      <c r="AT43" s="4161"/>
      <c r="AU43" s="2603"/>
      <c r="AV43" s="4161"/>
      <c r="AW43" s="2601"/>
      <c r="AX43" s="4172"/>
      <c r="AY43" s="4172"/>
      <c r="AZ43" s="2966"/>
      <c r="BA43" s="2601"/>
      <c r="BB43" s="2601"/>
      <c r="BC43" s="2594"/>
      <c r="BD43" s="2614"/>
      <c r="BE43" s="2594"/>
      <c r="BF43" s="2614"/>
      <c r="BG43" s="3943"/>
    </row>
    <row r="44" spans="1:59" ht="111.75" customHeight="1" x14ac:dyDescent="0.2">
      <c r="A44" s="3416"/>
      <c r="B44" s="3417"/>
      <c r="C44" s="3423"/>
      <c r="D44" s="2983"/>
      <c r="E44" s="3415"/>
      <c r="F44" s="3417"/>
      <c r="G44" s="2137">
        <v>81</v>
      </c>
      <c r="H44" s="2129" t="s">
        <v>1307</v>
      </c>
      <c r="I44" s="2137" t="s">
        <v>59</v>
      </c>
      <c r="J44" s="2290">
        <v>17</v>
      </c>
      <c r="K44" s="563" t="s">
        <v>1290</v>
      </c>
      <c r="L44" s="2137"/>
      <c r="M44" s="2601"/>
      <c r="N44" s="2604"/>
      <c r="O44" s="2299">
        <v>0</v>
      </c>
      <c r="P44" s="4174"/>
      <c r="Q44" s="4181"/>
      <c r="R44" s="562" t="s">
        <v>1293</v>
      </c>
      <c r="S44" s="2452" t="s">
        <v>1307</v>
      </c>
      <c r="T44" s="2453">
        <v>0</v>
      </c>
      <c r="U44" s="2432">
        <v>0</v>
      </c>
      <c r="V44" s="2432">
        <v>0</v>
      </c>
      <c r="W44" s="2443"/>
      <c r="X44" s="2444"/>
      <c r="Y44" s="2603"/>
      <c r="Z44" s="4161"/>
      <c r="AA44" s="2603"/>
      <c r="AB44" s="4161"/>
      <c r="AC44" s="2603"/>
      <c r="AD44" s="4161"/>
      <c r="AE44" s="2603"/>
      <c r="AF44" s="4161"/>
      <c r="AG44" s="2603"/>
      <c r="AH44" s="4161"/>
      <c r="AI44" s="2603"/>
      <c r="AJ44" s="4161"/>
      <c r="AK44" s="2603"/>
      <c r="AL44" s="4161"/>
      <c r="AM44" s="2603"/>
      <c r="AN44" s="4161"/>
      <c r="AO44" s="2603"/>
      <c r="AP44" s="4161"/>
      <c r="AQ44" s="2603"/>
      <c r="AR44" s="4161"/>
      <c r="AS44" s="2603"/>
      <c r="AT44" s="4161"/>
      <c r="AU44" s="2603"/>
      <c r="AV44" s="4161"/>
      <c r="AW44" s="2601"/>
      <c r="AX44" s="4172"/>
      <c r="AY44" s="4172"/>
      <c r="AZ44" s="2966"/>
      <c r="BA44" s="2601"/>
      <c r="BB44" s="2601"/>
      <c r="BC44" s="2594"/>
      <c r="BD44" s="2614"/>
      <c r="BE44" s="2594"/>
      <c r="BF44" s="2614"/>
      <c r="BG44" s="3943"/>
    </row>
    <row r="45" spans="1:59" ht="99.75" customHeight="1" x14ac:dyDescent="0.2">
      <c r="A45" s="3416"/>
      <c r="B45" s="3417"/>
      <c r="C45" s="3423"/>
      <c r="D45" s="2983"/>
      <c r="E45" s="3418"/>
      <c r="F45" s="3420"/>
      <c r="G45" s="2137">
        <v>82</v>
      </c>
      <c r="H45" s="2129" t="s">
        <v>1308</v>
      </c>
      <c r="I45" s="2137" t="s">
        <v>59</v>
      </c>
      <c r="J45" s="2290">
        <v>17</v>
      </c>
      <c r="K45" s="563" t="s">
        <v>1290</v>
      </c>
      <c r="L45" s="2137"/>
      <c r="M45" s="2636"/>
      <c r="N45" s="2604"/>
      <c r="O45" s="2299">
        <v>0</v>
      </c>
      <c r="P45" s="4157"/>
      <c r="Q45" s="4182"/>
      <c r="R45" s="569" t="s">
        <v>1293</v>
      </c>
      <c r="S45" s="2452" t="s">
        <v>1308</v>
      </c>
      <c r="T45" s="2453">
        <v>0</v>
      </c>
      <c r="U45" s="2432">
        <v>0</v>
      </c>
      <c r="V45" s="2432">
        <v>0</v>
      </c>
      <c r="W45" s="2447"/>
      <c r="X45" s="2445"/>
      <c r="Y45" s="3435"/>
      <c r="Z45" s="4162"/>
      <c r="AA45" s="3435"/>
      <c r="AB45" s="4162"/>
      <c r="AC45" s="3435"/>
      <c r="AD45" s="4162"/>
      <c r="AE45" s="3435"/>
      <c r="AF45" s="4162"/>
      <c r="AG45" s="3435"/>
      <c r="AH45" s="4162"/>
      <c r="AI45" s="3435"/>
      <c r="AJ45" s="4162"/>
      <c r="AK45" s="3435"/>
      <c r="AL45" s="4162"/>
      <c r="AM45" s="3435"/>
      <c r="AN45" s="4162"/>
      <c r="AO45" s="3435"/>
      <c r="AP45" s="4162"/>
      <c r="AQ45" s="3435"/>
      <c r="AR45" s="4162"/>
      <c r="AS45" s="3435"/>
      <c r="AT45" s="4162"/>
      <c r="AU45" s="3435"/>
      <c r="AV45" s="4162"/>
      <c r="AW45" s="2636"/>
      <c r="AX45" s="4173"/>
      <c r="AY45" s="4173"/>
      <c r="AZ45" s="2967"/>
      <c r="BA45" s="2636"/>
      <c r="BB45" s="2636"/>
      <c r="BC45" s="3400"/>
      <c r="BD45" s="2632"/>
      <c r="BE45" s="3400"/>
      <c r="BF45" s="2632"/>
      <c r="BG45" s="4163"/>
    </row>
    <row r="46" spans="1:59" ht="15" x14ac:dyDescent="0.2">
      <c r="A46" s="3416"/>
      <c r="B46" s="3417"/>
      <c r="C46" s="3423"/>
      <c r="D46" s="2983"/>
      <c r="E46" s="524">
        <v>20</v>
      </c>
      <c r="F46" s="525" t="s">
        <v>1309</v>
      </c>
      <c r="G46" s="50"/>
      <c r="H46" s="412"/>
      <c r="I46" s="50"/>
      <c r="J46" s="50"/>
      <c r="K46" s="411"/>
      <c r="L46" s="50"/>
      <c r="M46" s="50"/>
      <c r="N46" s="50"/>
      <c r="O46" s="50"/>
      <c r="P46" s="50"/>
      <c r="Q46" s="50"/>
      <c r="R46" s="412"/>
      <c r="S46" s="412"/>
      <c r="T46" s="1493"/>
      <c r="U46" s="1740"/>
      <c r="V46" s="1740"/>
      <c r="W46" s="2520"/>
      <c r="X46" s="412"/>
      <c r="Y46" s="532"/>
      <c r="Z46" s="533"/>
      <c r="AA46" s="532"/>
      <c r="AB46" s="533"/>
      <c r="AC46" s="532"/>
      <c r="AD46" s="533"/>
      <c r="AE46" s="532"/>
      <c r="AF46" s="533"/>
      <c r="AG46" s="532"/>
      <c r="AH46" s="533"/>
      <c r="AI46" s="532"/>
      <c r="AJ46" s="533"/>
      <c r="AK46" s="532"/>
      <c r="AL46" s="533"/>
      <c r="AM46" s="532"/>
      <c r="AN46" s="533"/>
      <c r="AO46" s="532"/>
      <c r="AP46" s="533"/>
      <c r="AQ46" s="532"/>
      <c r="AR46" s="533"/>
      <c r="AS46" s="532"/>
      <c r="AT46" s="533"/>
      <c r="AU46" s="532"/>
      <c r="AV46" s="533"/>
      <c r="AW46" s="50"/>
      <c r="AX46" s="526"/>
      <c r="AY46" s="50"/>
      <c r="AZ46" s="50"/>
      <c r="BA46" s="50"/>
      <c r="BB46" s="50"/>
      <c r="BC46" s="50"/>
      <c r="BD46" s="411"/>
      <c r="BE46" s="50"/>
      <c r="BF46" s="411"/>
      <c r="BG46" s="527"/>
    </row>
    <row r="47" spans="1:59" ht="75.75" customHeight="1" x14ac:dyDescent="0.2">
      <c r="A47" s="3416"/>
      <c r="B47" s="3417"/>
      <c r="C47" s="3423"/>
      <c r="D47" s="2983"/>
      <c r="E47" s="3412"/>
      <c r="F47" s="3414"/>
      <c r="G47" s="2137">
        <v>83</v>
      </c>
      <c r="H47" s="2129" t="s">
        <v>1310</v>
      </c>
      <c r="I47" s="2137" t="s">
        <v>59</v>
      </c>
      <c r="J47" s="2290">
        <v>4</v>
      </c>
      <c r="K47" s="563">
        <v>4</v>
      </c>
      <c r="L47" s="2600" t="s">
        <v>1311</v>
      </c>
      <c r="M47" s="2600">
        <v>90</v>
      </c>
      <c r="N47" s="2604" t="s">
        <v>1312</v>
      </c>
      <c r="O47" s="2299">
        <f>+T47/$P$47</f>
        <v>2.3076923076923078E-2</v>
      </c>
      <c r="P47" s="4156">
        <v>650000000</v>
      </c>
      <c r="Q47" s="4188" t="s">
        <v>1313</v>
      </c>
      <c r="R47" s="566" t="s">
        <v>1314</v>
      </c>
      <c r="S47" s="2129" t="s">
        <v>1310</v>
      </c>
      <c r="T47" s="2453">
        <v>15000000</v>
      </c>
      <c r="U47" s="2432">
        <v>0</v>
      </c>
      <c r="V47" s="2432">
        <v>0</v>
      </c>
      <c r="W47" s="2446">
        <v>35</v>
      </c>
      <c r="X47" s="2444" t="s">
        <v>1231</v>
      </c>
      <c r="Y47" s="2602">
        <v>2732</v>
      </c>
      <c r="Z47" s="4160">
        <v>2732</v>
      </c>
      <c r="AA47" s="2602">
        <v>17360</v>
      </c>
      <c r="AB47" s="4160">
        <v>17360</v>
      </c>
      <c r="AC47" s="2602">
        <v>21116</v>
      </c>
      <c r="AD47" s="4160">
        <v>21116</v>
      </c>
      <c r="AE47" s="2602"/>
      <c r="AF47" s="4160"/>
      <c r="AG47" s="2602">
        <v>4451</v>
      </c>
      <c r="AH47" s="4160">
        <v>4451</v>
      </c>
      <c r="AI47" s="2602"/>
      <c r="AJ47" s="4160"/>
      <c r="AK47" s="2602">
        <v>247</v>
      </c>
      <c r="AL47" s="4160">
        <v>247</v>
      </c>
      <c r="AM47" s="2602">
        <v>217</v>
      </c>
      <c r="AN47" s="4160">
        <v>217</v>
      </c>
      <c r="AO47" s="2602">
        <v>60</v>
      </c>
      <c r="AP47" s="4160">
        <v>60</v>
      </c>
      <c r="AQ47" s="2602">
        <v>2484</v>
      </c>
      <c r="AR47" s="4160">
        <v>2484</v>
      </c>
      <c r="AS47" s="2602">
        <v>4575</v>
      </c>
      <c r="AT47" s="4160">
        <v>4575</v>
      </c>
      <c r="AU47" s="2602">
        <v>56</v>
      </c>
      <c r="AV47" s="4160">
        <v>56</v>
      </c>
      <c r="AW47" s="2600"/>
      <c r="AX47" s="4171">
        <v>391448989.72000003</v>
      </c>
      <c r="AY47" s="4171">
        <v>376448989.72000003</v>
      </c>
      <c r="AZ47" s="2620">
        <f>+AY47/AX47</f>
        <v>0.96168083097946078</v>
      </c>
      <c r="BA47" s="2600" t="s">
        <v>1315</v>
      </c>
      <c r="BB47" s="2600" t="s">
        <v>1316</v>
      </c>
      <c r="BC47" s="2593">
        <v>42583</v>
      </c>
      <c r="BD47" s="2593">
        <v>42583</v>
      </c>
      <c r="BE47" s="2593">
        <v>42735</v>
      </c>
      <c r="BF47" s="2593">
        <v>42735</v>
      </c>
      <c r="BG47" s="2600" t="s">
        <v>1228</v>
      </c>
    </row>
    <row r="48" spans="1:59" ht="81.75" customHeight="1" x14ac:dyDescent="0.2">
      <c r="A48" s="3416"/>
      <c r="B48" s="3417"/>
      <c r="C48" s="3423"/>
      <c r="D48" s="2983"/>
      <c r="E48" s="3415"/>
      <c r="F48" s="3417"/>
      <c r="G48" s="2137">
        <v>84</v>
      </c>
      <c r="H48" s="2129" t="s">
        <v>1317</v>
      </c>
      <c r="I48" s="2137" t="s">
        <v>59</v>
      </c>
      <c r="J48" s="2290">
        <v>4</v>
      </c>
      <c r="K48" s="563">
        <v>0</v>
      </c>
      <c r="L48" s="2601"/>
      <c r="M48" s="2601"/>
      <c r="N48" s="2604"/>
      <c r="O48" s="2299">
        <f t="shared" ref="O48:O56" si="0">+T48/$P$47</f>
        <v>0</v>
      </c>
      <c r="P48" s="4174"/>
      <c r="Q48" s="4189"/>
      <c r="R48" s="570" t="s">
        <v>1318</v>
      </c>
      <c r="S48" s="2129" t="s">
        <v>1317</v>
      </c>
      <c r="T48" s="2453">
        <v>0</v>
      </c>
      <c r="U48" s="2432">
        <v>0</v>
      </c>
      <c r="V48" s="2432">
        <v>0</v>
      </c>
      <c r="W48" s="2443"/>
      <c r="X48" s="2444"/>
      <c r="Y48" s="2603"/>
      <c r="Z48" s="4161"/>
      <c r="AA48" s="2603"/>
      <c r="AB48" s="4161"/>
      <c r="AC48" s="2603"/>
      <c r="AD48" s="4161"/>
      <c r="AE48" s="2603"/>
      <c r="AF48" s="4161"/>
      <c r="AG48" s="2603"/>
      <c r="AH48" s="4161"/>
      <c r="AI48" s="2603"/>
      <c r="AJ48" s="4161"/>
      <c r="AK48" s="2603"/>
      <c r="AL48" s="4161"/>
      <c r="AM48" s="2603"/>
      <c r="AN48" s="4161"/>
      <c r="AO48" s="2603"/>
      <c r="AP48" s="4161"/>
      <c r="AQ48" s="2603"/>
      <c r="AR48" s="4161"/>
      <c r="AS48" s="2603"/>
      <c r="AT48" s="4161"/>
      <c r="AU48" s="2603"/>
      <c r="AV48" s="4161"/>
      <c r="AW48" s="2601"/>
      <c r="AX48" s="4172"/>
      <c r="AY48" s="4172"/>
      <c r="AZ48" s="2966"/>
      <c r="BA48" s="2601"/>
      <c r="BB48" s="2601"/>
      <c r="BC48" s="2594"/>
      <c r="BD48" s="2594"/>
      <c r="BE48" s="2594"/>
      <c r="BF48" s="2594"/>
      <c r="BG48" s="3943"/>
    </row>
    <row r="49" spans="1:59" ht="78.75" customHeight="1" x14ac:dyDescent="0.2">
      <c r="A49" s="3416"/>
      <c r="B49" s="3417"/>
      <c r="C49" s="3423"/>
      <c r="D49" s="2983"/>
      <c r="E49" s="3415"/>
      <c r="F49" s="3417"/>
      <c r="G49" s="2137">
        <v>85</v>
      </c>
      <c r="H49" s="2129" t="s">
        <v>1319</v>
      </c>
      <c r="I49" s="2137" t="s">
        <v>59</v>
      </c>
      <c r="J49" s="2290">
        <v>4</v>
      </c>
      <c r="K49" s="563">
        <v>4</v>
      </c>
      <c r="L49" s="2601"/>
      <c r="M49" s="2601"/>
      <c r="N49" s="2604"/>
      <c r="O49" s="2299">
        <f t="shared" si="0"/>
        <v>2.3076923076923078E-2</v>
      </c>
      <c r="P49" s="4174"/>
      <c r="Q49" s="4189"/>
      <c r="R49" s="562" t="s">
        <v>1320</v>
      </c>
      <c r="S49" s="2129" t="s">
        <v>1319</v>
      </c>
      <c r="T49" s="2453">
        <v>15000000</v>
      </c>
      <c r="U49" s="2432">
        <v>15000000</v>
      </c>
      <c r="V49" s="2432">
        <v>15000000</v>
      </c>
      <c r="W49" s="2446">
        <v>35</v>
      </c>
      <c r="X49" s="2444" t="s">
        <v>1231</v>
      </c>
      <c r="Y49" s="2603"/>
      <c r="Z49" s="4161"/>
      <c r="AA49" s="2603"/>
      <c r="AB49" s="4161"/>
      <c r="AC49" s="2603"/>
      <c r="AD49" s="4161"/>
      <c r="AE49" s="2603"/>
      <c r="AF49" s="4161"/>
      <c r="AG49" s="2603"/>
      <c r="AH49" s="4161"/>
      <c r="AI49" s="2603"/>
      <c r="AJ49" s="4161"/>
      <c r="AK49" s="2603"/>
      <c r="AL49" s="4161"/>
      <c r="AM49" s="2603"/>
      <c r="AN49" s="4161"/>
      <c r="AO49" s="2603"/>
      <c r="AP49" s="4161"/>
      <c r="AQ49" s="2603"/>
      <c r="AR49" s="4161"/>
      <c r="AS49" s="2603"/>
      <c r="AT49" s="4161"/>
      <c r="AU49" s="2603"/>
      <c r="AV49" s="4161"/>
      <c r="AW49" s="2601"/>
      <c r="AX49" s="4172"/>
      <c r="AY49" s="4172"/>
      <c r="AZ49" s="2966"/>
      <c r="BA49" s="2601"/>
      <c r="BB49" s="2601"/>
      <c r="BC49" s="2594"/>
      <c r="BD49" s="2594"/>
      <c r="BE49" s="2594"/>
      <c r="BF49" s="2594"/>
      <c r="BG49" s="3943"/>
    </row>
    <row r="50" spans="1:59" ht="98.25" customHeight="1" x14ac:dyDescent="0.2">
      <c r="A50" s="3416"/>
      <c r="B50" s="3417"/>
      <c r="C50" s="3423"/>
      <c r="D50" s="2983"/>
      <c r="E50" s="3415"/>
      <c r="F50" s="3417"/>
      <c r="G50" s="2137">
        <v>87</v>
      </c>
      <c r="H50" s="2129" t="s">
        <v>1321</v>
      </c>
      <c r="I50" s="2137" t="s">
        <v>59</v>
      </c>
      <c r="J50" s="2290">
        <v>30</v>
      </c>
      <c r="K50" s="563">
        <v>30</v>
      </c>
      <c r="L50" s="2601"/>
      <c r="M50" s="2601"/>
      <c r="N50" s="2604"/>
      <c r="O50" s="2299">
        <f t="shared" si="0"/>
        <v>0.18461538461538463</v>
      </c>
      <c r="P50" s="4174"/>
      <c r="Q50" s="4189"/>
      <c r="R50" s="566" t="s">
        <v>1322</v>
      </c>
      <c r="S50" s="2129" t="s">
        <v>1321</v>
      </c>
      <c r="T50" s="2453">
        <v>120000000</v>
      </c>
      <c r="U50" s="2432">
        <v>0</v>
      </c>
      <c r="V50" s="2432">
        <v>0</v>
      </c>
      <c r="W50" s="2443" t="s">
        <v>1323</v>
      </c>
      <c r="X50" s="2444" t="s">
        <v>1324</v>
      </c>
      <c r="Y50" s="2603"/>
      <c r="Z50" s="4161"/>
      <c r="AA50" s="2603"/>
      <c r="AB50" s="4161"/>
      <c r="AC50" s="2603"/>
      <c r="AD50" s="4161"/>
      <c r="AE50" s="2603"/>
      <c r="AF50" s="4161"/>
      <c r="AG50" s="2603"/>
      <c r="AH50" s="4161"/>
      <c r="AI50" s="2603"/>
      <c r="AJ50" s="4161"/>
      <c r="AK50" s="2603"/>
      <c r="AL50" s="4161"/>
      <c r="AM50" s="2603"/>
      <c r="AN50" s="4161"/>
      <c r="AO50" s="2603"/>
      <c r="AP50" s="4161"/>
      <c r="AQ50" s="2603"/>
      <c r="AR50" s="4161"/>
      <c r="AS50" s="2603"/>
      <c r="AT50" s="4161"/>
      <c r="AU50" s="2603"/>
      <c r="AV50" s="4161"/>
      <c r="AW50" s="2601"/>
      <c r="AX50" s="4172"/>
      <c r="AY50" s="4172"/>
      <c r="AZ50" s="2966"/>
      <c r="BA50" s="2601"/>
      <c r="BB50" s="2601"/>
      <c r="BC50" s="2594"/>
      <c r="BD50" s="2594"/>
      <c r="BE50" s="2594"/>
      <c r="BF50" s="2594"/>
      <c r="BG50" s="3943"/>
    </row>
    <row r="51" spans="1:59" ht="71.25" customHeight="1" x14ac:dyDescent="0.2">
      <c r="A51" s="3416"/>
      <c r="B51" s="3417"/>
      <c r="C51" s="3423"/>
      <c r="D51" s="2983"/>
      <c r="E51" s="3415"/>
      <c r="F51" s="3417"/>
      <c r="G51" s="2137">
        <v>88</v>
      </c>
      <c r="H51" s="2129" t="s">
        <v>1325</v>
      </c>
      <c r="I51" s="2137" t="s">
        <v>59</v>
      </c>
      <c r="J51" s="2290">
        <v>23</v>
      </c>
      <c r="K51" s="563">
        <v>20</v>
      </c>
      <c r="L51" s="2601"/>
      <c r="M51" s="2601"/>
      <c r="N51" s="2604"/>
      <c r="O51" s="2299">
        <f t="shared" si="0"/>
        <v>0</v>
      </c>
      <c r="P51" s="4174"/>
      <c r="Q51" s="4189"/>
      <c r="R51" s="2452" t="s">
        <v>1326</v>
      </c>
      <c r="S51" s="2129" t="s">
        <v>1325</v>
      </c>
      <c r="T51" s="2453">
        <v>0</v>
      </c>
      <c r="U51" s="2432">
        <v>0</v>
      </c>
      <c r="V51" s="2432">
        <v>0</v>
      </c>
      <c r="W51" s="2443"/>
      <c r="X51" s="2444"/>
      <c r="Y51" s="2603"/>
      <c r="Z51" s="4161"/>
      <c r="AA51" s="2603"/>
      <c r="AB51" s="4161"/>
      <c r="AC51" s="2603"/>
      <c r="AD51" s="4161"/>
      <c r="AE51" s="2603"/>
      <c r="AF51" s="4161"/>
      <c r="AG51" s="2603"/>
      <c r="AH51" s="4161"/>
      <c r="AI51" s="2603"/>
      <c r="AJ51" s="4161"/>
      <c r="AK51" s="2603"/>
      <c r="AL51" s="4161"/>
      <c r="AM51" s="2603"/>
      <c r="AN51" s="4161"/>
      <c r="AO51" s="2603"/>
      <c r="AP51" s="4161"/>
      <c r="AQ51" s="2603"/>
      <c r="AR51" s="4161"/>
      <c r="AS51" s="2603"/>
      <c r="AT51" s="4161"/>
      <c r="AU51" s="2603"/>
      <c r="AV51" s="4161"/>
      <c r="AW51" s="2601"/>
      <c r="AX51" s="4172"/>
      <c r="AY51" s="4172"/>
      <c r="AZ51" s="2966"/>
      <c r="BA51" s="2601"/>
      <c r="BB51" s="2601"/>
      <c r="BC51" s="2594"/>
      <c r="BD51" s="2594"/>
      <c r="BE51" s="2594"/>
      <c r="BF51" s="2594"/>
      <c r="BG51" s="3943"/>
    </row>
    <row r="52" spans="1:59" ht="110.25" customHeight="1" x14ac:dyDescent="0.2">
      <c r="A52" s="3416"/>
      <c r="B52" s="3417"/>
      <c r="C52" s="3423"/>
      <c r="D52" s="2983"/>
      <c r="E52" s="3415"/>
      <c r="F52" s="3417"/>
      <c r="G52" s="2137">
        <v>86</v>
      </c>
      <c r="H52" s="2129" t="s">
        <v>1327</v>
      </c>
      <c r="I52" s="2137" t="s">
        <v>59</v>
      </c>
      <c r="J52" s="2290">
        <v>1</v>
      </c>
      <c r="K52" s="561">
        <v>1</v>
      </c>
      <c r="L52" s="2601"/>
      <c r="M52" s="2601"/>
      <c r="N52" s="2604"/>
      <c r="O52" s="2299">
        <f t="shared" si="0"/>
        <v>0</v>
      </c>
      <c r="P52" s="4174"/>
      <c r="Q52" s="4189"/>
      <c r="R52" s="2452" t="s">
        <v>1328</v>
      </c>
      <c r="S52" s="2386" t="s">
        <v>1329</v>
      </c>
      <c r="T52" s="2453">
        <v>0</v>
      </c>
      <c r="U52" s="2432">
        <v>0</v>
      </c>
      <c r="V52" s="2432">
        <v>0</v>
      </c>
      <c r="W52" s="2443"/>
      <c r="X52" s="2444"/>
      <c r="Y52" s="2603"/>
      <c r="Z52" s="4161"/>
      <c r="AA52" s="2603"/>
      <c r="AB52" s="4161"/>
      <c r="AC52" s="2603"/>
      <c r="AD52" s="4161"/>
      <c r="AE52" s="2603"/>
      <c r="AF52" s="4161"/>
      <c r="AG52" s="2603"/>
      <c r="AH52" s="4161"/>
      <c r="AI52" s="2603"/>
      <c r="AJ52" s="4161"/>
      <c r="AK52" s="2603"/>
      <c r="AL52" s="4161"/>
      <c r="AM52" s="2603"/>
      <c r="AN52" s="4161"/>
      <c r="AO52" s="2603"/>
      <c r="AP52" s="4161"/>
      <c r="AQ52" s="2603"/>
      <c r="AR52" s="4161"/>
      <c r="AS52" s="2603"/>
      <c r="AT52" s="4161"/>
      <c r="AU52" s="2603"/>
      <c r="AV52" s="4161"/>
      <c r="AW52" s="2601"/>
      <c r="AX52" s="4172"/>
      <c r="AY52" s="4172"/>
      <c r="AZ52" s="2966"/>
      <c r="BA52" s="2601"/>
      <c r="BB52" s="2601"/>
      <c r="BC52" s="2594"/>
      <c r="BD52" s="2594"/>
      <c r="BE52" s="2594"/>
      <c r="BF52" s="2594"/>
      <c r="BG52" s="3943"/>
    </row>
    <row r="53" spans="1:59" ht="81" customHeight="1" x14ac:dyDescent="0.2">
      <c r="A53" s="3416"/>
      <c r="B53" s="3417"/>
      <c r="C53" s="3423"/>
      <c r="D53" s="2983"/>
      <c r="E53" s="3415"/>
      <c r="F53" s="3417"/>
      <c r="G53" s="2137">
        <v>89</v>
      </c>
      <c r="H53" s="2129" t="s">
        <v>1330</v>
      </c>
      <c r="I53" s="2137" t="s">
        <v>59</v>
      </c>
      <c r="J53" s="2290">
        <v>9000</v>
      </c>
      <c r="K53" s="563">
        <v>9047</v>
      </c>
      <c r="L53" s="2601"/>
      <c r="M53" s="2601"/>
      <c r="N53" s="2604"/>
      <c r="O53" s="2299">
        <f t="shared" si="0"/>
        <v>0</v>
      </c>
      <c r="P53" s="4174"/>
      <c r="Q53" s="4189"/>
      <c r="R53" s="2452" t="s">
        <v>1328</v>
      </c>
      <c r="S53" s="2129" t="s">
        <v>1330</v>
      </c>
      <c r="T53" s="2453">
        <v>0</v>
      </c>
      <c r="U53" s="2432">
        <v>0</v>
      </c>
      <c r="V53" s="2432">
        <v>0</v>
      </c>
      <c r="W53" s="2443"/>
      <c r="X53" s="2444"/>
      <c r="Y53" s="2603"/>
      <c r="Z53" s="4161"/>
      <c r="AA53" s="2603"/>
      <c r="AB53" s="4161"/>
      <c r="AC53" s="2603"/>
      <c r="AD53" s="4161"/>
      <c r="AE53" s="2603"/>
      <c r="AF53" s="4161"/>
      <c r="AG53" s="2603"/>
      <c r="AH53" s="4161"/>
      <c r="AI53" s="2603"/>
      <c r="AJ53" s="4161"/>
      <c r="AK53" s="2603"/>
      <c r="AL53" s="4161"/>
      <c r="AM53" s="2603"/>
      <c r="AN53" s="4161"/>
      <c r="AO53" s="2603"/>
      <c r="AP53" s="4161"/>
      <c r="AQ53" s="2603"/>
      <c r="AR53" s="4161"/>
      <c r="AS53" s="2603"/>
      <c r="AT53" s="4161"/>
      <c r="AU53" s="2603"/>
      <c r="AV53" s="4161"/>
      <c r="AW53" s="2601"/>
      <c r="AX53" s="4172"/>
      <c r="AY53" s="4172"/>
      <c r="AZ53" s="2966"/>
      <c r="BA53" s="2601"/>
      <c r="BB53" s="2601"/>
      <c r="BC53" s="2594"/>
      <c r="BD53" s="2594"/>
      <c r="BE53" s="2594"/>
      <c r="BF53" s="2594"/>
      <c r="BG53" s="3943"/>
    </row>
    <row r="54" spans="1:59" ht="64.5" customHeight="1" x14ac:dyDescent="0.2">
      <c r="A54" s="3416"/>
      <c r="B54" s="3417"/>
      <c r="C54" s="3423"/>
      <c r="D54" s="2983"/>
      <c r="E54" s="3415"/>
      <c r="F54" s="3417"/>
      <c r="G54" s="2137">
        <v>90</v>
      </c>
      <c r="H54" s="2129" t="s">
        <v>1331</v>
      </c>
      <c r="I54" s="2137" t="s">
        <v>59</v>
      </c>
      <c r="J54" s="2290">
        <v>104</v>
      </c>
      <c r="K54" s="563">
        <v>131</v>
      </c>
      <c r="L54" s="2601"/>
      <c r="M54" s="2601"/>
      <c r="N54" s="2604"/>
      <c r="O54" s="2299">
        <f t="shared" si="0"/>
        <v>0.35384615384615387</v>
      </c>
      <c r="P54" s="4174"/>
      <c r="Q54" s="4189"/>
      <c r="R54" s="2452" t="s">
        <v>1332</v>
      </c>
      <c r="S54" s="2129" t="s">
        <v>1331</v>
      </c>
      <c r="T54" s="2453">
        <v>230000000</v>
      </c>
      <c r="U54" s="2432">
        <f>67789100+42000000</f>
        <v>109789100</v>
      </c>
      <c r="V54" s="2432">
        <f>67789100+42000000</f>
        <v>109789100</v>
      </c>
      <c r="W54" s="2443" t="s">
        <v>1323</v>
      </c>
      <c r="X54" s="2444" t="s">
        <v>1324</v>
      </c>
      <c r="Y54" s="2603"/>
      <c r="Z54" s="4161"/>
      <c r="AA54" s="2603"/>
      <c r="AB54" s="4161"/>
      <c r="AC54" s="2603"/>
      <c r="AD54" s="4161"/>
      <c r="AE54" s="2603"/>
      <c r="AF54" s="4161"/>
      <c r="AG54" s="2603"/>
      <c r="AH54" s="4161"/>
      <c r="AI54" s="2603"/>
      <c r="AJ54" s="4161"/>
      <c r="AK54" s="2603"/>
      <c r="AL54" s="4161"/>
      <c r="AM54" s="2603"/>
      <c r="AN54" s="4161"/>
      <c r="AO54" s="2603"/>
      <c r="AP54" s="4161"/>
      <c r="AQ54" s="2603"/>
      <c r="AR54" s="4161"/>
      <c r="AS54" s="2603"/>
      <c r="AT54" s="4161"/>
      <c r="AU54" s="2603"/>
      <c r="AV54" s="4161"/>
      <c r="AW54" s="2601"/>
      <c r="AX54" s="4172"/>
      <c r="AY54" s="4172"/>
      <c r="AZ54" s="2966"/>
      <c r="BA54" s="2601"/>
      <c r="BB54" s="2601"/>
      <c r="BC54" s="2594"/>
      <c r="BD54" s="2594"/>
      <c r="BE54" s="2594"/>
      <c r="BF54" s="2594"/>
      <c r="BG54" s="3943"/>
    </row>
    <row r="55" spans="1:59" ht="84.75" customHeight="1" x14ac:dyDescent="0.2">
      <c r="A55" s="3416"/>
      <c r="B55" s="3417"/>
      <c r="C55" s="3423"/>
      <c r="D55" s="2983"/>
      <c r="E55" s="3415"/>
      <c r="F55" s="3417"/>
      <c r="G55" s="2137">
        <v>91</v>
      </c>
      <c r="H55" s="2129" t="s">
        <v>1333</v>
      </c>
      <c r="I55" s="2137" t="s">
        <v>59</v>
      </c>
      <c r="J55" s="2290">
        <v>54</v>
      </c>
      <c r="K55" s="563">
        <v>54</v>
      </c>
      <c r="L55" s="2601"/>
      <c r="M55" s="2601"/>
      <c r="N55" s="2604"/>
      <c r="O55" s="2299">
        <f t="shared" si="0"/>
        <v>0.41538461538461541</v>
      </c>
      <c r="P55" s="4174"/>
      <c r="Q55" s="4189"/>
      <c r="R55" s="562" t="s">
        <v>1334</v>
      </c>
      <c r="S55" s="2129" t="s">
        <v>1333</v>
      </c>
      <c r="T55" s="2453">
        <v>270000000</v>
      </c>
      <c r="U55" s="2432">
        <v>266659889.72</v>
      </c>
      <c r="V55" s="1733">
        <v>251659889</v>
      </c>
      <c r="W55" s="2446">
        <v>35</v>
      </c>
      <c r="X55" s="2444" t="s">
        <v>1231</v>
      </c>
      <c r="Y55" s="2603"/>
      <c r="Z55" s="4161"/>
      <c r="AA55" s="2603"/>
      <c r="AB55" s="4161"/>
      <c r="AC55" s="2603"/>
      <c r="AD55" s="4161"/>
      <c r="AE55" s="2603"/>
      <c r="AF55" s="4161"/>
      <c r="AG55" s="2603"/>
      <c r="AH55" s="4161"/>
      <c r="AI55" s="2603"/>
      <c r="AJ55" s="4161"/>
      <c r="AK55" s="2603"/>
      <c r="AL55" s="4161"/>
      <c r="AM55" s="2603"/>
      <c r="AN55" s="4161"/>
      <c r="AO55" s="2603"/>
      <c r="AP55" s="4161"/>
      <c r="AQ55" s="2603"/>
      <c r="AR55" s="4161"/>
      <c r="AS55" s="2603"/>
      <c r="AT55" s="4161"/>
      <c r="AU55" s="2603"/>
      <c r="AV55" s="4161"/>
      <c r="AW55" s="2601"/>
      <c r="AX55" s="4172"/>
      <c r="AY55" s="4172"/>
      <c r="AZ55" s="2966"/>
      <c r="BA55" s="2601"/>
      <c r="BB55" s="2601"/>
      <c r="BC55" s="2594"/>
      <c r="BD55" s="2594"/>
      <c r="BE55" s="2594"/>
      <c r="BF55" s="2594"/>
      <c r="BG55" s="3943"/>
    </row>
    <row r="56" spans="1:59" ht="106.5" customHeight="1" x14ac:dyDescent="0.2">
      <c r="A56" s="3416"/>
      <c r="B56" s="3417"/>
      <c r="C56" s="3423"/>
      <c r="D56" s="2983"/>
      <c r="E56" s="3418"/>
      <c r="F56" s="3420"/>
      <c r="G56" s="2137">
        <v>92</v>
      </c>
      <c r="H56" s="2129" t="s">
        <v>1335</v>
      </c>
      <c r="I56" s="2137" t="s">
        <v>59</v>
      </c>
      <c r="J56" s="2290">
        <v>1</v>
      </c>
      <c r="K56" s="561">
        <v>1</v>
      </c>
      <c r="L56" s="2636"/>
      <c r="M56" s="2636"/>
      <c r="N56" s="2604"/>
      <c r="O56" s="2299">
        <f t="shared" si="0"/>
        <v>0</v>
      </c>
      <c r="P56" s="4157"/>
      <c r="Q56" s="4190"/>
      <c r="R56" s="562" t="s">
        <v>1336</v>
      </c>
      <c r="S56" s="2386" t="s">
        <v>1335</v>
      </c>
      <c r="T56" s="2453">
        <v>0</v>
      </c>
      <c r="U56" s="2432">
        <v>0</v>
      </c>
      <c r="V56" s="2432">
        <v>0</v>
      </c>
      <c r="W56" s="2447"/>
      <c r="X56" s="2445"/>
      <c r="Y56" s="3435"/>
      <c r="Z56" s="4162"/>
      <c r="AA56" s="3435"/>
      <c r="AB56" s="4162"/>
      <c r="AC56" s="3435"/>
      <c r="AD56" s="4162"/>
      <c r="AE56" s="3435"/>
      <c r="AF56" s="4162"/>
      <c r="AG56" s="3435"/>
      <c r="AH56" s="4162"/>
      <c r="AI56" s="3435"/>
      <c r="AJ56" s="4162"/>
      <c r="AK56" s="3435"/>
      <c r="AL56" s="4162"/>
      <c r="AM56" s="3435"/>
      <c r="AN56" s="4162"/>
      <c r="AO56" s="3435"/>
      <c r="AP56" s="4162"/>
      <c r="AQ56" s="3435"/>
      <c r="AR56" s="4162"/>
      <c r="AS56" s="3435"/>
      <c r="AT56" s="4162"/>
      <c r="AU56" s="3435"/>
      <c r="AV56" s="4162"/>
      <c r="AW56" s="2636"/>
      <c r="AX56" s="4173"/>
      <c r="AY56" s="4173"/>
      <c r="AZ56" s="2967"/>
      <c r="BA56" s="2636"/>
      <c r="BB56" s="2636"/>
      <c r="BC56" s="3400"/>
      <c r="BD56" s="3400"/>
      <c r="BE56" s="3400"/>
      <c r="BF56" s="3400"/>
      <c r="BG56" s="4163"/>
    </row>
    <row r="57" spans="1:59" ht="15" x14ac:dyDescent="0.2">
      <c r="A57" s="3416"/>
      <c r="B57" s="3417"/>
      <c r="C57" s="3423"/>
      <c r="D57" s="2983"/>
      <c r="E57" s="524">
        <v>21</v>
      </c>
      <c r="F57" s="2193" t="s">
        <v>1337</v>
      </c>
      <c r="G57" s="2194"/>
      <c r="H57" s="412"/>
      <c r="I57" s="2194"/>
      <c r="J57" s="2194"/>
      <c r="K57" s="538"/>
      <c r="L57" s="2194"/>
      <c r="M57" s="2194"/>
      <c r="N57" s="2194"/>
      <c r="O57" s="2194"/>
      <c r="P57" s="2194"/>
      <c r="Q57" s="2194"/>
      <c r="R57" s="412"/>
      <c r="S57" s="412"/>
      <c r="T57" s="1741"/>
      <c r="U57" s="1742"/>
      <c r="V57" s="1742"/>
      <c r="W57" s="2520"/>
      <c r="X57" s="412"/>
      <c r="Y57" s="539"/>
      <c r="Z57" s="540"/>
      <c r="AA57" s="539"/>
      <c r="AB57" s="540"/>
      <c r="AC57" s="539"/>
      <c r="AD57" s="540"/>
      <c r="AE57" s="539"/>
      <c r="AF57" s="540"/>
      <c r="AG57" s="539"/>
      <c r="AH57" s="540"/>
      <c r="AI57" s="539"/>
      <c r="AJ57" s="540"/>
      <c r="AK57" s="539"/>
      <c r="AL57" s="540"/>
      <c r="AM57" s="539"/>
      <c r="AN57" s="540"/>
      <c r="AO57" s="539"/>
      <c r="AP57" s="540"/>
      <c r="AQ57" s="539"/>
      <c r="AR57" s="540"/>
      <c r="AS57" s="539"/>
      <c r="AT57" s="540"/>
      <c r="AU57" s="539"/>
      <c r="AV57" s="540"/>
      <c r="AW57" s="2194"/>
      <c r="AX57" s="541"/>
      <c r="AY57" s="2194"/>
      <c r="AZ57" s="2194"/>
      <c r="BA57" s="2194"/>
      <c r="BB57" s="2194"/>
      <c r="BC57" s="2194"/>
      <c r="BD57" s="538"/>
      <c r="BE57" s="2194"/>
      <c r="BF57" s="538"/>
      <c r="BG57" s="542"/>
    </row>
    <row r="58" spans="1:59" ht="72.75" customHeight="1" x14ac:dyDescent="0.2">
      <c r="A58" s="3416"/>
      <c r="B58" s="3417"/>
      <c r="C58" s="3423"/>
      <c r="D58" s="2983"/>
      <c r="E58" s="3412"/>
      <c r="F58" s="3414"/>
      <c r="G58" s="2137">
        <v>93</v>
      </c>
      <c r="H58" s="2129" t="s">
        <v>1338</v>
      </c>
      <c r="I58" s="2137" t="s">
        <v>59</v>
      </c>
      <c r="J58" s="2290">
        <v>4</v>
      </c>
      <c r="K58" s="563">
        <v>4</v>
      </c>
      <c r="L58" s="2137"/>
      <c r="M58" s="2600">
        <v>91</v>
      </c>
      <c r="N58" s="2604" t="s">
        <v>1339</v>
      </c>
      <c r="O58" s="2299">
        <v>0</v>
      </c>
      <c r="P58" s="4184">
        <v>267500000</v>
      </c>
      <c r="Q58" s="4185" t="s">
        <v>1340</v>
      </c>
      <c r="R58" s="566" t="s">
        <v>1341</v>
      </c>
      <c r="S58" s="2452" t="s">
        <v>1338</v>
      </c>
      <c r="T58" s="2453">
        <v>0</v>
      </c>
      <c r="U58" s="2432">
        <v>0</v>
      </c>
      <c r="V58" s="2432">
        <v>0</v>
      </c>
      <c r="W58" s="2446"/>
      <c r="X58" s="2130"/>
      <c r="Y58" s="2602">
        <v>2732</v>
      </c>
      <c r="Z58" s="4160">
        <v>2732</v>
      </c>
      <c r="AA58" s="2602">
        <v>17360</v>
      </c>
      <c r="AB58" s="4160">
        <v>17360</v>
      </c>
      <c r="AC58" s="2602">
        <v>21116</v>
      </c>
      <c r="AD58" s="4160">
        <v>21116</v>
      </c>
      <c r="AE58" s="2602"/>
      <c r="AF58" s="4160"/>
      <c r="AG58" s="2602">
        <v>4451</v>
      </c>
      <c r="AH58" s="4160">
        <v>4451</v>
      </c>
      <c r="AI58" s="2602"/>
      <c r="AJ58" s="4160"/>
      <c r="AK58" s="2602">
        <v>247</v>
      </c>
      <c r="AL58" s="4160">
        <v>247</v>
      </c>
      <c r="AM58" s="2602">
        <v>217</v>
      </c>
      <c r="AN58" s="4160">
        <v>217</v>
      </c>
      <c r="AO58" s="2602">
        <v>60</v>
      </c>
      <c r="AP58" s="4160">
        <v>60</v>
      </c>
      <c r="AQ58" s="2602">
        <v>2484</v>
      </c>
      <c r="AR58" s="4160">
        <v>2484</v>
      </c>
      <c r="AS58" s="2602">
        <v>4575</v>
      </c>
      <c r="AT58" s="4160">
        <v>4575</v>
      </c>
      <c r="AU58" s="2602">
        <v>56</v>
      </c>
      <c r="AV58" s="4160">
        <v>56</v>
      </c>
      <c r="AW58" s="2600"/>
      <c r="AX58" s="4183"/>
      <c r="AY58" s="4183"/>
      <c r="AZ58" s="2600"/>
      <c r="BA58" s="2600"/>
      <c r="BB58" s="2600"/>
      <c r="BC58" s="2593"/>
      <c r="BD58" s="2613"/>
      <c r="BE58" s="2593"/>
      <c r="BF58" s="2613"/>
      <c r="BG58" s="2600" t="s">
        <v>1228</v>
      </c>
    </row>
    <row r="59" spans="1:59" ht="72" customHeight="1" x14ac:dyDescent="0.2">
      <c r="A59" s="3416"/>
      <c r="B59" s="3417"/>
      <c r="C59" s="3423"/>
      <c r="D59" s="2983"/>
      <c r="E59" s="3415"/>
      <c r="F59" s="3417"/>
      <c r="G59" s="2137">
        <v>94</v>
      </c>
      <c r="H59" s="2129" t="s">
        <v>1342</v>
      </c>
      <c r="I59" s="2137" t="s">
        <v>59</v>
      </c>
      <c r="J59" s="2290">
        <v>79</v>
      </c>
      <c r="K59" s="563">
        <v>20</v>
      </c>
      <c r="L59" s="2137" t="s">
        <v>1343</v>
      </c>
      <c r="M59" s="2601"/>
      <c r="N59" s="2604"/>
      <c r="O59" s="2299">
        <v>0.90649999999999997</v>
      </c>
      <c r="P59" s="4174"/>
      <c r="Q59" s="4186"/>
      <c r="R59" s="566" t="s">
        <v>1344</v>
      </c>
      <c r="S59" s="2452" t="s">
        <v>1342</v>
      </c>
      <c r="T59" s="2453">
        <v>267500000</v>
      </c>
      <c r="U59" s="2432">
        <v>0</v>
      </c>
      <c r="V59" s="2432">
        <v>0</v>
      </c>
      <c r="W59" s="2443">
        <v>25</v>
      </c>
      <c r="X59" s="2195" t="s">
        <v>1270</v>
      </c>
      <c r="Y59" s="2603"/>
      <c r="Z59" s="4161"/>
      <c r="AA59" s="2603"/>
      <c r="AB59" s="4161"/>
      <c r="AC59" s="2603"/>
      <c r="AD59" s="4161"/>
      <c r="AE59" s="2603"/>
      <c r="AF59" s="4161"/>
      <c r="AG59" s="2603"/>
      <c r="AH59" s="4161"/>
      <c r="AI59" s="2603"/>
      <c r="AJ59" s="4161"/>
      <c r="AK59" s="2603"/>
      <c r="AL59" s="4161"/>
      <c r="AM59" s="2603"/>
      <c r="AN59" s="4161"/>
      <c r="AO59" s="2603"/>
      <c r="AP59" s="4161"/>
      <c r="AQ59" s="2603"/>
      <c r="AR59" s="4161"/>
      <c r="AS59" s="2603"/>
      <c r="AT59" s="4161"/>
      <c r="AU59" s="2603"/>
      <c r="AV59" s="4161"/>
      <c r="AW59" s="2601"/>
      <c r="AX59" s="4183"/>
      <c r="AY59" s="4183"/>
      <c r="AZ59" s="2601"/>
      <c r="BA59" s="2601"/>
      <c r="BB59" s="2601"/>
      <c r="BC59" s="2594"/>
      <c r="BD59" s="2614"/>
      <c r="BE59" s="2594"/>
      <c r="BF59" s="2614"/>
      <c r="BG59" s="3943"/>
    </row>
    <row r="60" spans="1:59" ht="89.25" customHeight="1" x14ac:dyDescent="0.2">
      <c r="A60" s="3416"/>
      <c r="B60" s="3417"/>
      <c r="C60" s="3423"/>
      <c r="D60" s="2983"/>
      <c r="E60" s="3415"/>
      <c r="F60" s="3417"/>
      <c r="G60" s="2137">
        <v>95</v>
      </c>
      <c r="H60" s="2129" t="s">
        <v>1345</v>
      </c>
      <c r="I60" s="2137" t="s">
        <v>59</v>
      </c>
      <c r="J60" s="2290">
        <v>500</v>
      </c>
      <c r="K60" s="563">
        <v>450</v>
      </c>
      <c r="L60" s="2137" t="s">
        <v>1346</v>
      </c>
      <c r="M60" s="2601"/>
      <c r="N60" s="2604"/>
      <c r="O60" s="2299">
        <v>3.6999999999999998E-2</v>
      </c>
      <c r="P60" s="4174"/>
      <c r="Q60" s="4186"/>
      <c r="R60" s="566" t="s">
        <v>1347</v>
      </c>
      <c r="S60" s="2452" t="s">
        <v>1345</v>
      </c>
      <c r="T60" s="2453"/>
      <c r="U60" s="2432">
        <v>0</v>
      </c>
      <c r="V60" s="2432">
        <v>0</v>
      </c>
      <c r="W60" s="2443">
        <v>20</v>
      </c>
      <c r="X60" s="2195" t="s">
        <v>130</v>
      </c>
      <c r="Y60" s="2603"/>
      <c r="Z60" s="4161"/>
      <c r="AA60" s="2603"/>
      <c r="AB60" s="4161"/>
      <c r="AC60" s="2603"/>
      <c r="AD60" s="4161"/>
      <c r="AE60" s="2603"/>
      <c r="AF60" s="4161"/>
      <c r="AG60" s="2603"/>
      <c r="AH60" s="4161"/>
      <c r="AI60" s="2603"/>
      <c r="AJ60" s="4161"/>
      <c r="AK60" s="2603"/>
      <c r="AL60" s="4161"/>
      <c r="AM60" s="2603"/>
      <c r="AN60" s="4161"/>
      <c r="AO60" s="2603"/>
      <c r="AP60" s="4161"/>
      <c r="AQ60" s="2603"/>
      <c r="AR60" s="4161"/>
      <c r="AS60" s="2603"/>
      <c r="AT60" s="4161"/>
      <c r="AU60" s="2603"/>
      <c r="AV60" s="4161"/>
      <c r="AW60" s="2601"/>
      <c r="AX60" s="4183"/>
      <c r="AY60" s="4183"/>
      <c r="AZ60" s="2601"/>
      <c r="BA60" s="2601"/>
      <c r="BB60" s="2601"/>
      <c r="BC60" s="2594"/>
      <c r="BD60" s="2614"/>
      <c r="BE60" s="2594"/>
      <c r="BF60" s="2614"/>
      <c r="BG60" s="3943"/>
    </row>
    <row r="61" spans="1:59" ht="97.5" customHeight="1" x14ac:dyDescent="0.2">
      <c r="A61" s="3416"/>
      <c r="B61" s="3417"/>
      <c r="C61" s="3423"/>
      <c r="D61" s="2983"/>
      <c r="E61" s="3415"/>
      <c r="F61" s="3417"/>
      <c r="G61" s="2137">
        <v>96</v>
      </c>
      <c r="H61" s="2129" t="s">
        <v>1348</v>
      </c>
      <c r="I61" s="2137" t="s">
        <v>59</v>
      </c>
      <c r="J61" s="2290">
        <v>0.75</v>
      </c>
      <c r="K61" s="563">
        <v>0</v>
      </c>
      <c r="L61" s="2137"/>
      <c r="M61" s="2636"/>
      <c r="N61" s="2604"/>
      <c r="O61" s="2299">
        <v>5.6000000000000001E-2</v>
      </c>
      <c r="P61" s="4157"/>
      <c r="Q61" s="4187"/>
      <c r="R61" s="566" t="s">
        <v>1349</v>
      </c>
      <c r="S61" s="2129" t="s">
        <v>1348</v>
      </c>
      <c r="T61" s="2453"/>
      <c r="U61" s="2432">
        <v>0</v>
      </c>
      <c r="V61" s="2432">
        <v>0</v>
      </c>
      <c r="W61" s="2443">
        <v>20</v>
      </c>
      <c r="X61" s="2195" t="s">
        <v>130</v>
      </c>
      <c r="Y61" s="3435"/>
      <c r="Z61" s="4162"/>
      <c r="AA61" s="3435"/>
      <c r="AB61" s="4162"/>
      <c r="AC61" s="3435"/>
      <c r="AD61" s="4162"/>
      <c r="AE61" s="3435"/>
      <c r="AF61" s="4162"/>
      <c r="AG61" s="3435"/>
      <c r="AH61" s="4162"/>
      <c r="AI61" s="3435"/>
      <c r="AJ61" s="4162"/>
      <c r="AK61" s="3435"/>
      <c r="AL61" s="4162"/>
      <c r="AM61" s="3435"/>
      <c r="AN61" s="4162"/>
      <c r="AO61" s="3435"/>
      <c r="AP61" s="4162"/>
      <c r="AQ61" s="3435"/>
      <c r="AR61" s="4162"/>
      <c r="AS61" s="3435"/>
      <c r="AT61" s="4162"/>
      <c r="AU61" s="3435"/>
      <c r="AV61" s="4162"/>
      <c r="AW61" s="2636"/>
      <c r="AX61" s="4183"/>
      <c r="AY61" s="4183"/>
      <c r="AZ61" s="2636"/>
      <c r="BA61" s="2636"/>
      <c r="BB61" s="2636"/>
      <c r="BC61" s="3400"/>
      <c r="BD61" s="2632"/>
      <c r="BE61" s="3400"/>
      <c r="BF61" s="2632"/>
      <c r="BG61" s="4163"/>
    </row>
    <row r="62" spans="1:59" ht="112.5" customHeight="1" x14ac:dyDescent="0.2">
      <c r="A62" s="3416"/>
      <c r="B62" s="3417"/>
      <c r="C62" s="3423"/>
      <c r="D62" s="2983"/>
      <c r="E62" s="3418"/>
      <c r="F62" s="3420"/>
      <c r="G62" s="2137">
        <v>95</v>
      </c>
      <c r="H62" s="2129" t="s">
        <v>1345</v>
      </c>
      <c r="I62" s="2137" t="s">
        <v>59</v>
      </c>
      <c r="J62" s="2290">
        <v>500</v>
      </c>
      <c r="K62" s="563">
        <v>450</v>
      </c>
      <c r="L62" s="2137" t="s">
        <v>1350</v>
      </c>
      <c r="M62" s="2137">
        <v>92</v>
      </c>
      <c r="N62" s="2129" t="s">
        <v>1351</v>
      </c>
      <c r="O62" s="2299">
        <v>1</v>
      </c>
      <c r="P62" s="572">
        <v>7500000</v>
      </c>
      <c r="Q62" s="2449" t="s">
        <v>1340</v>
      </c>
      <c r="R62" s="566" t="s">
        <v>1347</v>
      </c>
      <c r="S62" s="2452" t="s">
        <v>1345</v>
      </c>
      <c r="T62" s="2453">
        <v>7500000</v>
      </c>
      <c r="U62" s="2432">
        <v>7500000</v>
      </c>
      <c r="V62" s="2432">
        <v>7500000</v>
      </c>
      <c r="W62" s="2443">
        <v>25</v>
      </c>
      <c r="X62" s="2195" t="s">
        <v>1270</v>
      </c>
      <c r="Y62" s="2290">
        <v>2732</v>
      </c>
      <c r="Z62" s="2438">
        <v>2732</v>
      </c>
      <c r="AA62" s="2290">
        <v>17360</v>
      </c>
      <c r="AB62" s="2438">
        <v>17360</v>
      </c>
      <c r="AC62" s="2290">
        <v>21116</v>
      </c>
      <c r="AD62" s="2438">
        <v>21116</v>
      </c>
      <c r="AE62" s="2290"/>
      <c r="AF62" s="2438"/>
      <c r="AG62" s="2290">
        <v>4451</v>
      </c>
      <c r="AH62" s="2438">
        <v>4451</v>
      </c>
      <c r="AI62" s="2290"/>
      <c r="AJ62" s="2438"/>
      <c r="AK62" s="2290">
        <v>247</v>
      </c>
      <c r="AL62" s="2438">
        <v>247</v>
      </c>
      <c r="AM62" s="2290">
        <v>217</v>
      </c>
      <c r="AN62" s="2438">
        <v>217</v>
      </c>
      <c r="AO62" s="2290">
        <v>60</v>
      </c>
      <c r="AP62" s="2438">
        <v>60</v>
      </c>
      <c r="AQ62" s="2290">
        <v>2484</v>
      </c>
      <c r="AR62" s="2438">
        <v>2484</v>
      </c>
      <c r="AS62" s="2290">
        <v>4575</v>
      </c>
      <c r="AT62" s="2438">
        <v>4575</v>
      </c>
      <c r="AU62" s="2290">
        <v>56</v>
      </c>
      <c r="AV62" s="2438">
        <v>56</v>
      </c>
      <c r="AW62" s="2137">
        <v>1</v>
      </c>
      <c r="AX62" s="573">
        <v>7500000</v>
      </c>
      <c r="AY62" s="573">
        <v>7500000</v>
      </c>
      <c r="AZ62" s="2131">
        <f>+AY62/AX62</f>
        <v>1</v>
      </c>
      <c r="BA62" s="2137" t="s">
        <v>1352</v>
      </c>
      <c r="BB62" s="2137" t="s">
        <v>1353</v>
      </c>
      <c r="BC62" s="2294">
        <v>42583</v>
      </c>
      <c r="BD62" s="2297">
        <v>42583</v>
      </c>
      <c r="BE62" s="2294">
        <v>42735</v>
      </c>
      <c r="BF62" s="2297">
        <v>42674</v>
      </c>
      <c r="BG62" s="2137" t="s">
        <v>1228</v>
      </c>
    </row>
    <row r="63" spans="1:59" ht="15" x14ac:dyDescent="0.2">
      <c r="A63" s="3416"/>
      <c r="B63" s="3417"/>
      <c r="C63" s="3423"/>
      <c r="D63" s="2983"/>
      <c r="E63" s="524">
        <v>22</v>
      </c>
      <c r="F63" s="2193" t="s">
        <v>1354</v>
      </c>
      <c r="G63" s="2194"/>
      <c r="H63" s="412"/>
      <c r="I63" s="2194"/>
      <c r="J63" s="2194"/>
      <c r="K63" s="538"/>
      <c r="L63" s="2194"/>
      <c r="M63" s="2194"/>
      <c r="N63" s="2194"/>
      <c r="O63" s="2194"/>
      <c r="P63" s="2194"/>
      <c r="Q63" s="2194"/>
      <c r="R63" s="412"/>
      <c r="S63" s="412"/>
      <c r="T63" s="1741"/>
      <c r="U63" s="1742"/>
      <c r="V63" s="1742"/>
      <c r="W63" s="2520"/>
      <c r="X63" s="412"/>
      <c r="Y63" s="539"/>
      <c r="Z63" s="540"/>
      <c r="AA63" s="539"/>
      <c r="AB63" s="540"/>
      <c r="AC63" s="539"/>
      <c r="AD63" s="540"/>
      <c r="AE63" s="539"/>
      <c r="AF63" s="540"/>
      <c r="AG63" s="539"/>
      <c r="AH63" s="540"/>
      <c r="AI63" s="539"/>
      <c r="AJ63" s="540"/>
      <c r="AK63" s="539"/>
      <c r="AL63" s="540"/>
      <c r="AM63" s="539"/>
      <c r="AN63" s="540"/>
      <c r="AO63" s="539"/>
      <c r="AP63" s="540"/>
      <c r="AQ63" s="539"/>
      <c r="AR63" s="540"/>
      <c r="AS63" s="539"/>
      <c r="AT63" s="540"/>
      <c r="AU63" s="539"/>
      <c r="AV63" s="540"/>
      <c r="AW63" s="2194"/>
      <c r="AX63" s="541"/>
      <c r="AY63" s="2194"/>
      <c r="AZ63" s="2194"/>
      <c r="BA63" s="2194"/>
      <c r="BB63" s="2194"/>
      <c r="BC63" s="2194"/>
      <c r="BD63" s="538"/>
      <c r="BE63" s="2194"/>
      <c r="BF63" s="538"/>
      <c r="BG63" s="542"/>
    </row>
    <row r="64" spans="1:59" ht="137.25" customHeight="1" x14ac:dyDescent="0.2">
      <c r="A64" s="3416"/>
      <c r="B64" s="3417"/>
      <c r="C64" s="4202"/>
      <c r="D64" s="2984"/>
      <c r="E64" s="4178"/>
      <c r="F64" s="4179"/>
      <c r="G64" s="2137">
        <v>97</v>
      </c>
      <c r="H64" s="2129" t="s">
        <v>1355</v>
      </c>
      <c r="I64" s="2137" t="s">
        <v>59</v>
      </c>
      <c r="J64" s="2290">
        <v>7</v>
      </c>
      <c r="K64" s="2438">
        <v>0</v>
      </c>
      <c r="L64" s="2415" t="s">
        <v>1356</v>
      </c>
      <c r="M64" s="2415">
        <v>93</v>
      </c>
      <c r="N64" s="2129" t="s">
        <v>1357</v>
      </c>
      <c r="O64" s="2299">
        <v>1</v>
      </c>
      <c r="P64" s="572">
        <v>110000000</v>
      </c>
      <c r="Q64" s="2546" t="s">
        <v>1358</v>
      </c>
      <c r="R64" s="2546" t="s">
        <v>1359</v>
      </c>
      <c r="S64" s="2452" t="s">
        <v>1355</v>
      </c>
      <c r="T64" s="2453">
        <v>110000000</v>
      </c>
      <c r="U64" s="2432">
        <v>0</v>
      </c>
      <c r="V64" s="2432">
        <v>0</v>
      </c>
      <c r="W64" s="2443">
        <v>25</v>
      </c>
      <c r="X64" s="2195" t="s">
        <v>1270</v>
      </c>
      <c r="Y64" s="2290">
        <v>2732</v>
      </c>
      <c r="Z64" s="2438">
        <v>2732</v>
      </c>
      <c r="AA64" s="2290">
        <v>17360</v>
      </c>
      <c r="AB64" s="2438">
        <v>17360</v>
      </c>
      <c r="AC64" s="2290">
        <v>21116</v>
      </c>
      <c r="AD64" s="2438">
        <v>21116</v>
      </c>
      <c r="AE64" s="2290"/>
      <c r="AF64" s="2438"/>
      <c r="AG64" s="2290">
        <v>4451</v>
      </c>
      <c r="AH64" s="2438">
        <v>4451</v>
      </c>
      <c r="AI64" s="2290"/>
      <c r="AJ64" s="2438"/>
      <c r="AK64" s="2290">
        <v>247</v>
      </c>
      <c r="AL64" s="2438">
        <v>247</v>
      </c>
      <c r="AM64" s="2290">
        <v>217</v>
      </c>
      <c r="AN64" s="2438">
        <v>217</v>
      </c>
      <c r="AO64" s="2290">
        <v>60</v>
      </c>
      <c r="AP64" s="2438">
        <v>60</v>
      </c>
      <c r="AQ64" s="2290">
        <v>2484</v>
      </c>
      <c r="AR64" s="2438">
        <v>2484</v>
      </c>
      <c r="AS64" s="2290">
        <v>4575</v>
      </c>
      <c r="AT64" s="2438">
        <v>4575</v>
      </c>
      <c r="AU64" s="2290">
        <v>56</v>
      </c>
      <c r="AV64" s="2438">
        <v>56</v>
      </c>
      <c r="AW64" s="2137"/>
      <c r="AX64" s="574"/>
      <c r="AY64" s="2137"/>
      <c r="AZ64" s="2137"/>
      <c r="BA64" s="2137"/>
      <c r="BB64" s="2137"/>
      <c r="BC64" s="2294"/>
      <c r="BD64" s="2297"/>
      <c r="BE64" s="2294"/>
      <c r="BF64" s="2297"/>
      <c r="BG64" s="2137" t="s">
        <v>1228</v>
      </c>
    </row>
    <row r="65" spans="1:59" ht="15" x14ac:dyDescent="0.2">
      <c r="A65" s="3416"/>
      <c r="B65" s="3417"/>
      <c r="C65" s="521">
        <v>7</v>
      </c>
      <c r="D65" s="4220" t="s">
        <v>1360</v>
      </c>
      <c r="E65" s="4221"/>
      <c r="F65" s="4221"/>
      <c r="G65" s="4221"/>
      <c r="H65" s="4221"/>
      <c r="I65" s="2426"/>
      <c r="J65" s="2426"/>
      <c r="K65" s="575"/>
      <c r="L65" s="2426"/>
      <c r="M65" s="2426"/>
      <c r="N65" s="2426"/>
      <c r="O65" s="2426"/>
      <c r="P65" s="2426"/>
      <c r="Q65" s="2426"/>
      <c r="R65" s="1571"/>
      <c r="S65" s="1571"/>
      <c r="T65" s="1747"/>
      <c r="U65" s="1748"/>
      <c r="V65" s="1748"/>
      <c r="W65" s="209"/>
      <c r="X65" s="1571"/>
      <c r="Y65" s="576"/>
      <c r="Z65" s="577"/>
      <c r="AA65" s="576"/>
      <c r="AB65" s="577"/>
      <c r="AC65" s="576"/>
      <c r="AD65" s="577"/>
      <c r="AE65" s="576"/>
      <c r="AF65" s="577"/>
      <c r="AG65" s="576"/>
      <c r="AH65" s="577"/>
      <c r="AI65" s="576"/>
      <c r="AJ65" s="577"/>
      <c r="AK65" s="576"/>
      <c r="AL65" s="577"/>
      <c r="AM65" s="576"/>
      <c r="AN65" s="577"/>
      <c r="AO65" s="576"/>
      <c r="AP65" s="577"/>
      <c r="AQ65" s="576"/>
      <c r="AR65" s="577"/>
      <c r="AS65" s="576"/>
      <c r="AT65" s="577"/>
      <c r="AU65" s="576"/>
      <c r="AV65" s="577"/>
      <c r="AW65" s="2426"/>
      <c r="AX65" s="578"/>
      <c r="AY65" s="2426"/>
      <c r="AZ65" s="2426"/>
      <c r="BA65" s="2426"/>
      <c r="BB65" s="2426"/>
      <c r="BC65" s="2426"/>
      <c r="BD65" s="575"/>
      <c r="BE65" s="2426"/>
      <c r="BF65" s="575"/>
      <c r="BG65" s="579"/>
    </row>
    <row r="66" spans="1:59" ht="15" x14ac:dyDescent="0.2">
      <c r="A66" s="3416"/>
      <c r="B66" s="3417"/>
      <c r="C66" s="3412"/>
      <c r="D66" s="3414"/>
      <c r="E66" s="580">
        <v>23</v>
      </c>
      <c r="F66" s="581" t="s">
        <v>1361</v>
      </c>
      <c r="G66" s="582"/>
      <c r="H66" s="920"/>
      <c r="I66" s="582"/>
      <c r="J66" s="582"/>
      <c r="K66" s="583"/>
      <c r="L66" s="582"/>
      <c r="M66" s="582"/>
      <c r="N66" s="582"/>
      <c r="O66" s="582"/>
      <c r="P66" s="582"/>
      <c r="Q66" s="582"/>
      <c r="R66" s="920"/>
      <c r="S66" s="920"/>
      <c r="T66" s="1749"/>
      <c r="U66" s="1750"/>
      <c r="V66" s="1750"/>
      <c r="W66" s="215"/>
      <c r="X66" s="920"/>
      <c r="Y66" s="584"/>
      <c r="Z66" s="585"/>
      <c r="AA66" s="584"/>
      <c r="AB66" s="585"/>
      <c r="AC66" s="584"/>
      <c r="AD66" s="585"/>
      <c r="AE66" s="584"/>
      <c r="AF66" s="585"/>
      <c r="AG66" s="584"/>
      <c r="AH66" s="585"/>
      <c r="AI66" s="584"/>
      <c r="AJ66" s="585"/>
      <c r="AK66" s="584"/>
      <c r="AL66" s="585"/>
      <c r="AM66" s="584"/>
      <c r="AN66" s="585"/>
      <c r="AO66" s="584"/>
      <c r="AP66" s="585"/>
      <c r="AQ66" s="584"/>
      <c r="AR66" s="585"/>
      <c r="AS66" s="584"/>
      <c r="AT66" s="585"/>
      <c r="AU66" s="584"/>
      <c r="AV66" s="585"/>
      <c r="AW66" s="582"/>
      <c r="AX66" s="586"/>
      <c r="AY66" s="582"/>
      <c r="AZ66" s="582"/>
      <c r="BA66" s="582"/>
      <c r="BB66" s="582"/>
      <c r="BC66" s="582"/>
      <c r="BD66" s="583"/>
      <c r="BE66" s="582"/>
      <c r="BF66" s="583"/>
      <c r="BG66" s="587"/>
    </row>
    <row r="67" spans="1:59" ht="72" customHeight="1" x14ac:dyDescent="0.2">
      <c r="A67" s="3416"/>
      <c r="B67" s="3417"/>
      <c r="C67" s="3415"/>
      <c r="D67" s="3417"/>
      <c r="E67" s="3412"/>
      <c r="F67" s="3414"/>
      <c r="G67" s="2137">
        <v>98</v>
      </c>
      <c r="H67" s="2129" t="s">
        <v>1362</v>
      </c>
      <c r="I67" s="2137" t="s">
        <v>59</v>
      </c>
      <c r="J67" s="2290">
        <v>55</v>
      </c>
      <c r="K67" s="561">
        <v>97</v>
      </c>
      <c r="L67" s="2600" t="s">
        <v>1363</v>
      </c>
      <c r="M67" s="2600">
        <v>94</v>
      </c>
      <c r="N67" s="2604" t="s">
        <v>1364</v>
      </c>
      <c r="O67" s="2299">
        <v>0.17499999999999999</v>
      </c>
      <c r="P67" s="4156">
        <v>100000000</v>
      </c>
      <c r="Q67" s="4180" t="s">
        <v>1365</v>
      </c>
      <c r="R67" s="566" t="s">
        <v>1366</v>
      </c>
      <c r="S67" s="2452" t="s">
        <v>1362</v>
      </c>
      <c r="T67" s="2453">
        <v>17500000</v>
      </c>
      <c r="U67" s="2432">
        <v>17500000</v>
      </c>
      <c r="V67" s="2432">
        <v>17500000</v>
      </c>
      <c r="W67" s="4164">
        <v>25</v>
      </c>
      <c r="X67" s="2605" t="s">
        <v>1270</v>
      </c>
      <c r="Y67" s="2602">
        <v>2732</v>
      </c>
      <c r="Z67" s="4160">
        <v>2732</v>
      </c>
      <c r="AA67" s="2602">
        <v>17360</v>
      </c>
      <c r="AB67" s="4160">
        <v>17360</v>
      </c>
      <c r="AC67" s="2602">
        <v>21116</v>
      </c>
      <c r="AD67" s="4160">
        <v>21116</v>
      </c>
      <c r="AE67" s="2602"/>
      <c r="AF67" s="4160"/>
      <c r="AG67" s="2602">
        <v>4451</v>
      </c>
      <c r="AH67" s="4160">
        <v>4451</v>
      </c>
      <c r="AI67" s="2602"/>
      <c r="AJ67" s="4160"/>
      <c r="AK67" s="2602">
        <v>247</v>
      </c>
      <c r="AL67" s="4160">
        <v>247</v>
      </c>
      <c r="AM67" s="2602">
        <v>217</v>
      </c>
      <c r="AN67" s="4160">
        <v>217</v>
      </c>
      <c r="AO67" s="2602">
        <v>60</v>
      </c>
      <c r="AP67" s="4160">
        <v>60</v>
      </c>
      <c r="AQ67" s="2602">
        <v>2484</v>
      </c>
      <c r="AR67" s="4160">
        <v>2484</v>
      </c>
      <c r="AS67" s="2602">
        <v>4575</v>
      </c>
      <c r="AT67" s="4160">
        <v>4575</v>
      </c>
      <c r="AU67" s="2602">
        <v>56</v>
      </c>
      <c r="AV67" s="4160">
        <v>56</v>
      </c>
      <c r="AW67" s="2600">
        <v>2</v>
      </c>
      <c r="AX67" s="4176">
        <v>94193139</v>
      </c>
      <c r="AY67" s="4176">
        <v>89500000</v>
      </c>
      <c r="AZ67" s="2620">
        <f>+AY67/AX67</f>
        <v>0.9501753625601117</v>
      </c>
      <c r="BA67" s="2600" t="s">
        <v>1367</v>
      </c>
      <c r="BB67" s="2600" t="s">
        <v>1368</v>
      </c>
      <c r="BC67" s="2593">
        <v>42583</v>
      </c>
      <c r="BD67" s="2613">
        <v>42583</v>
      </c>
      <c r="BE67" s="2593">
        <v>42735</v>
      </c>
      <c r="BF67" s="2613">
        <v>42735</v>
      </c>
      <c r="BG67" s="2600" t="s">
        <v>1228</v>
      </c>
    </row>
    <row r="68" spans="1:59" ht="104.25" customHeight="1" x14ac:dyDescent="0.2">
      <c r="A68" s="3416"/>
      <c r="B68" s="3417"/>
      <c r="C68" s="3415"/>
      <c r="D68" s="3417"/>
      <c r="E68" s="3415"/>
      <c r="F68" s="3417"/>
      <c r="G68" s="2137">
        <v>99</v>
      </c>
      <c r="H68" s="2129" t="s">
        <v>1369</v>
      </c>
      <c r="I68" s="2137" t="s">
        <v>59</v>
      </c>
      <c r="J68" s="2290">
        <v>150</v>
      </c>
      <c r="K68" s="563">
        <v>150</v>
      </c>
      <c r="L68" s="2601"/>
      <c r="M68" s="2601"/>
      <c r="N68" s="2604"/>
      <c r="O68" s="2299">
        <v>0</v>
      </c>
      <c r="P68" s="4174"/>
      <c r="Q68" s="4181"/>
      <c r="R68" s="562" t="s">
        <v>1370</v>
      </c>
      <c r="S68" s="2452" t="s">
        <v>1369</v>
      </c>
      <c r="T68" s="2453">
        <v>0</v>
      </c>
      <c r="U68" s="2432">
        <v>0</v>
      </c>
      <c r="V68" s="2432">
        <v>0</v>
      </c>
      <c r="W68" s="4177"/>
      <c r="X68" s="2987"/>
      <c r="Y68" s="2603"/>
      <c r="Z68" s="4161"/>
      <c r="AA68" s="2603"/>
      <c r="AB68" s="4161"/>
      <c r="AC68" s="2603"/>
      <c r="AD68" s="4161"/>
      <c r="AE68" s="2603"/>
      <c r="AF68" s="4161"/>
      <c r="AG68" s="2603"/>
      <c r="AH68" s="4161"/>
      <c r="AI68" s="2603"/>
      <c r="AJ68" s="4161"/>
      <c r="AK68" s="2603"/>
      <c r="AL68" s="4161"/>
      <c r="AM68" s="2603"/>
      <c r="AN68" s="4161"/>
      <c r="AO68" s="2603"/>
      <c r="AP68" s="4161"/>
      <c r="AQ68" s="2603"/>
      <c r="AR68" s="4161"/>
      <c r="AS68" s="2603"/>
      <c r="AT68" s="4161"/>
      <c r="AU68" s="2603"/>
      <c r="AV68" s="4161"/>
      <c r="AW68" s="2601"/>
      <c r="AX68" s="4172"/>
      <c r="AY68" s="4172"/>
      <c r="AZ68" s="2966"/>
      <c r="BA68" s="2601"/>
      <c r="BB68" s="2601"/>
      <c r="BC68" s="2594"/>
      <c r="BD68" s="2614"/>
      <c r="BE68" s="2594"/>
      <c r="BF68" s="2614"/>
      <c r="BG68" s="3943"/>
    </row>
    <row r="69" spans="1:59" ht="84" customHeight="1" x14ac:dyDescent="0.2">
      <c r="A69" s="3416"/>
      <c r="B69" s="3417"/>
      <c r="C69" s="3415"/>
      <c r="D69" s="3417"/>
      <c r="E69" s="3415"/>
      <c r="F69" s="3417"/>
      <c r="G69" s="2137">
        <v>100</v>
      </c>
      <c r="H69" s="2129" t="s">
        <v>1371</v>
      </c>
      <c r="I69" s="2137" t="s">
        <v>59</v>
      </c>
      <c r="J69" s="2290">
        <v>6</v>
      </c>
      <c r="K69" s="563">
        <v>6</v>
      </c>
      <c r="L69" s="2601"/>
      <c r="M69" s="2601"/>
      <c r="N69" s="2604"/>
      <c r="O69" s="2299">
        <v>0</v>
      </c>
      <c r="P69" s="4174"/>
      <c r="Q69" s="4181"/>
      <c r="R69" s="562" t="s">
        <v>1372</v>
      </c>
      <c r="S69" s="2452" t="s">
        <v>1371</v>
      </c>
      <c r="T69" s="2453">
        <v>0</v>
      </c>
      <c r="U69" s="2432">
        <v>0</v>
      </c>
      <c r="V69" s="2432">
        <v>0</v>
      </c>
      <c r="W69" s="4177"/>
      <c r="X69" s="2987"/>
      <c r="Y69" s="2603"/>
      <c r="Z69" s="4161"/>
      <c r="AA69" s="2603"/>
      <c r="AB69" s="4161"/>
      <c r="AC69" s="2603"/>
      <c r="AD69" s="4161"/>
      <c r="AE69" s="2603"/>
      <c r="AF69" s="4161"/>
      <c r="AG69" s="2603"/>
      <c r="AH69" s="4161"/>
      <c r="AI69" s="2603"/>
      <c r="AJ69" s="4161"/>
      <c r="AK69" s="2603"/>
      <c r="AL69" s="4161"/>
      <c r="AM69" s="2603"/>
      <c r="AN69" s="4161"/>
      <c r="AO69" s="2603"/>
      <c r="AP69" s="4161"/>
      <c r="AQ69" s="2603"/>
      <c r="AR69" s="4161"/>
      <c r="AS69" s="2603"/>
      <c r="AT69" s="4161"/>
      <c r="AU69" s="2603"/>
      <c r="AV69" s="4161"/>
      <c r="AW69" s="2601"/>
      <c r="AX69" s="4172"/>
      <c r="AY69" s="4172"/>
      <c r="AZ69" s="2966"/>
      <c r="BA69" s="2601"/>
      <c r="BB69" s="2601"/>
      <c r="BC69" s="2594"/>
      <c r="BD69" s="2614"/>
      <c r="BE69" s="2594"/>
      <c r="BF69" s="2614"/>
      <c r="BG69" s="3943"/>
    </row>
    <row r="70" spans="1:59" ht="72" customHeight="1" x14ac:dyDescent="0.2">
      <c r="A70" s="3416"/>
      <c r="B70" s="3417"/>
      <c r="C70" s="3415"/>
      <c r="D70" s="3417"/>
      <c r="E70" s="3415"/>
      <c r="F70" s="3417"/>
      <c r="G70" s="2137">
        <v>101</v>
      </c>
      <c r="H70" s="2129" t="s">
        <v>1373</v>
      </c>
      <c r="I70" s="2137" t="s">
        <v>59</v>
      </c>
      <c r="J70" s="2290">
        <v>54</v>
      </c>
      <c r="K70" s="563">
        <v>24</v>
      </c>
      <c r="L70" s="2601"/>
      <c r="M70" s="2601"/>
      <c r="N70" s="2604"/>
      <c r="O70" s="2299">
        <v>0.72499999999999998</v>
      </c>
      <c r="P70" s="4174"/>
      <c r="Q70" s="4181"/>
      <c r="R70" s="562" t="s">
        <v>1374</v>
      </c>
      <c r="S70" s="2452" t="s">
        <v>1373</v>
      </c>
      <c r="T70" s="2453">
        <v>72500000</v>
      </c>
      <c r="U70" s="2432">
        <v>66693139</v>
      </c>
      <c r="V70" s="2432">
        <v>62000000</v>
      </c>
      <c r="W70" s="4177"/>
      <c r="X70" s="2987"/>
      <c r="Y70" s="2603"/>
      <c r="Z70" s="4161"/>
      <c r="AA70" s="2603"/>
      <c r="AB70" s="4161"/>
      <c r="AC70" s="2603"/>
      <c r="AD70" s="4161"/>
      <c r="AE70" s="2603"/>
      <c r="AF70" s="4161"/>
      <c r="AG70" s="2603"/>
      <c r="AH70" s="4161"/>
      <c r="AI70" s="2603"/>
      <c r="AJ70" s="4161"/>
      <c r="AK70" s="2603"/>
      <c r="AL70" s="4161"/>
      <c r="AM70" s="2603"/>
      <c r="AN70" s="4161"/>
      <c r="AO70" s="2603"/>
      <c r="AP70" s="4161"/>
      <c r="AQ70" s="2603"/>
      <c r="AR70" s="4161"/>
      <c r="AS70" s="2603"/>
      <c r="AT70" s="4161"/>
      <c r="AU70" s="2603"/>
      <c r="AV70" s="4161"/>
      <c r="AW70" s="2601"/>
      <c r="AX70" s="4172"/>
      <c r="AY70" s="4172"/>
      <c r="AZ70" s="2966"/>
      <c r="BA70" s="2601"/>
      <c r="BB70" s="2601"/>
      <c r="BC70" s="2594"/>
      <c r="BD70" s="2614"/>
      <c r="BE70" s="2594"/>
      <c r="BF70" s="2614"/>
      <c r="BG70" s="3943"/>
    </row>
    <row r="71" spans="1:59" ht="72" customHeight="1" x14ac:dyDescent="0.2">
      <c r="A71" s="3416"/>
      <c r="B71" s="3417"/>
      <c r="C71" s="3415"/>
      <c r="D71" s="3417"/>
      <c r="E71" s="3418"/>
      <c r="F71" s="3420"/>
      <c r="G71" s="2137">
        <v>102</v>
      </c>
      <c r="H71" s="2129" t="s">
        <v>1375</v>
      </c>
      <c r="I71" s="2137" t="s">
        <v>59</v>
      </c>
      <c r="J71" s="2290">
        <v>0.875</v>
      </c>
      <c r="K71" s="563">
        <v>1</v>
      </c>
      <c r="L71" s="2636"/>
      <c r="M71" s="2636"/>
      <c r="N71" s="2604"/>
      <c r="O71" s="2299">
        <v>0.1</v>
      </c>
      <c r="P71" s="4157"/>
      <c r="Q71" s="4182"/>
      <c r="R71" s="562" t="s">
        <v>1376</v>
      </c>
      <c r="S71" s="2452" t="s">
        <v>1375</v>
      </c>
      <c r="T71" s="2453">
        <v>10000000</v>
      </c>
      <c r="U71" s="2432">
        <v>10000000</v>
      </c>
      <c r="V71" s="2432">
        <v>10000000</v>
      </c>
      <c r="W71" s="4165"/>
      <c r="X71" s="2988"/>
      <c r="Y71" s="3435"/>
      <c r="Z71" s="4162"/>
      <c r="AA71" s="3435"/>
      <c r="AB71" s="4162"/>
      <c r="AC71" s="3435"/>
      <c r="AD71" s="4162"/>
      <c r="AE71" s="3435"/>
      <c r="AF71" s="4162"/>
      <c r="AG71" s="3435"/>
      <c r="AH71" s="4162"/>
      <c r="AI71" s="3435"/>
      <c r="AJ71" s="4162"/>
      <c r="AK71" s="3435"/>
      <c r="AL71" s="4162"/>
      <c r="AM71" s="3435"/>
      <c r="AN71" s="4162"/>
      <c r="AO71" s="3435"/>
      <c r="AP71" s="4162"/>
      <c r="AQ71" s="3435"/>
      <c r="AR71" s="4162"/>
      <c r="AS71" s="3435"/>
      <c r="AT71" s="4162"/>
      <c r="AU71" s="3435"/>
      <c r="AV71" s="4162"/>
      <c r="AW71" s="2636"/>
      <c r="AX71" s="4173"/>
      <c r="AY71" s="4173"/>
      <c r="AZ71" s="2967"/>
      <c r="BA71" s="2636"/>
      <c r="BB71" s="2636"/>
      <c r="BC71" s="3400"/>
      <c r="BD71" s="2632"/>
      <c r="BE71" s="3400"/>
      <c r="BF71" s="2632"/>
      <c r="BG71" s="4163"/>
    </row>
    <row r="72" spans="1:59" ht="15" x14ac:dyDescent="0.2">
      <c r="A72" s="3416"/>
      <c r="B72" s="3417"/>
      <c r="C72" s="3415"/>
      <c r="D72" s="3417"/>
      <c r="E72" s="524">
        <v>24</v>
      </c>
      <c r="F72" s="2193" t="s">
        <v>1377</v>
      </c>
      <c r="G72" s="2194"/>
      <c r="H72" s="412"/>
      <c r="I72" s="2194"/>
      <c r="J72" s="2194"/>
      <c r="K72" s="538"/>
      <c r="L72" s="2194"/>
      <c r="M72" s="2194"/>
      <c r="N72" s="2194"/>
      <c r="O72" s="2194"/>
      <c r="P72" s="2194"/>
      <c r="Q72" s="2194"/>
      <c r="R72" s="412"/>
      <c r="S72" s="412"/>
      <c r="T72" s="1741"/>
      <c r="U72" s="1742"/>
      <c r="V72" s="1742"/>
      <c r="W72" s="2520"/>
      <c r="X72" s="412"/>
      <c r="Y72" s="539"/>
      <c r="Z72" s="540"/>
      <c r="AA72" s="539"/>
      <c r="AB72" s="540"/>
      <c r="AC72" s="539"/>
      <c r="AD72" s="540"/>
      <c r="AE72" s="539"/>
      <c r="AF72" s="540"/>
      <c r="AG72" s="539"/>
      <c r="AH72" s="540"/>
      <c r="AI72" s="539"/>
      <c r="AJ72" s="540"/>
      <c r="AK72" s="539"/>
      <c r="AL72" s="540"/>
      <c r="AM72" s="539"/>
      <c r="AN72" s="540"/>
      <c r="AO72" s="539"/>
      <c r="AP72" s="540"/>
      <c r="AQ72" s="539"/>
      <c r="AR72" s="540"/>
      <c r="AS72" s="539"/>
      <c r="AT72" s="540"/>
      <c r="AU72" s="539"/>
      <c r="AV72" s="540"/>
      <c r="AW72" s="2194"/>
      <c r="AX72" s="2194"/>
      <c r="AY72" s="2194"/>
      <c r="AZ72" s="2194"/>
      <c r="BA72" s="2194"/>
      <c r="BB72" s="2194"/>
      <c r="BC72" s="2194"/>
      <c r="BD72" s="538"/>
      <c r="BE72" s="2194"/>
      <c r="BF72" s="538"/>
      <c r="BG72" s="542"/>
    </row>
    <row r="73" spans="1:59" ht="72" customHeight="1" x14ac:dyDescent="0.2">
      <c r="A73" s="3416"/>
      <c r="B73" s="3417"/>
      <c r="C73" s="3415"/>
      <c r="D73" s="3417"/>
      <c r="E73" s="3412"/>
      <c r="F73" s="3414"/>
      <c r="G73" s="2137">
        <v>103</v>
      </c>
      <c r="H73" s="2129" t="s">
        <v>1378</v>
      </c>
      <c r="I73" s="2137" t="s">
        <v>59</v>
      </c>
      <c r="J73" s="2290">
        <v>4</v>
      </c>
      <c r="K73" s="2438">
        <v>4</v>
      </c>
      <c r="L73" s="2097"/>
      <c r="M73" s="2600">
        <v>95</v>
      </c>
      <c r="N73" s="2604" t="s">
        <v>1379</v>
      </c>
      <c r="O73" s="2299">
        <v>0.1111111111111111</v>
      </c>
      <c r="P73" s="4156">
        <v>180000000</v>
      </c>
      <c r="Q73" s="2605" t="s">
        <v>1380</v>
      </c>
      <c r="R73" s="2604" t="s">
        <v>1381</v>
      </c>
      <c r="S73" s="2129" t="s">
        <v>1378</v>
      </c>
      <c r="T73" s="2453">
        <v>20000000</v>
      </c>
      <c r="U73" s="2432">
        <v>0</v>
      </c>
      <c r="V73" s="2432">
        <v>0</v>
      </c>
      <c r="W73" s="2446"/>
      <c r="X73" s="2444" t="s">
        <v>1270</v>
      </c>
      <c r="Y73" s="2602">
        <v>2732</v>
      </c>
      <c r="Z73" s="4160">
        <v>2732</v>
      </c>
      <c r="AA73" s="2602">
        <v>17360</v>
      </c>
      <c r="AB73" s="4160">
        <v>17360</v>
      </c>
      <c r="AC73" s="2602">
        <v>21116</v>
      </c>
      <c r="AD73" s="4160">
        <v>21116</v>
      </c>
      <c r="AE73" s="2602"/>
      <c r="AF73" s="4160"/>
      <c r="AG73" s="2602">
        <v>4451</v>
      </c>
      <c r="AH73" s="4160">
        <v>4451</v>
      </c>
      <c r="AI73" s="2602"/>
      <c r="AJ73" s="4160"/>
      <c r="AK73" s="2602">
        <v>247</v>
      </c>
      <c r="AL73" s="4160">
        <v>247</v>
      </c>
      <c r="AM73" s="2602">
        <v>217</v>
      </c>
      <c r="AN73" s="4160">
        <v>217</v>
      </c>
      <c r="AO73" s="2602">
        <v>60</v>
      </c>
      <c r="AP73" s="4160">
        <v>60</v>
      </c>
      <c r="AQ73" s="2602">
        <v>2484</v>
      </c>
      <c r="AR73" s="4160">
        <v>2484</v>
      </c>
      <c r="AS73" s="2602">
        <v>4575</v>
      </c>
      <c r="AT73" s="4160">
        <v>4575</v>
      </c>
      <c r="AU73" s="2602">
        <v>56</v>
      </c>
      <c r="AV73" s="4160">
        <v>56</v>
      </c>
      <c r="AW73" s="2600"/>
      <c r="AX73" s="4171">
        <f>988000+30000000</f>
        <v>30988000</v>
      </c>
      <c r="AY73" s="4171">
        <f>988000+10000000</f>
        <v>10988000</v>
      </c>
      <c r="AZ73" s="2620">
        <f>+AY73/AX73</f>
        <v>0.35458887311217246</v>
      </c>
      <c r="BA73" s="2600" t="s">
        <v>1382</v>
      </c>
      <c r="BB73" s="2600" t="s">
        <v>1383</v>
      </c>
      <c r="BC73" s="2593">
        <v>42583</v>
      </c>
      <c r="BD73" s="2613">
        <v>42583</v>
      </c>
      <c r="BE73" s="2593">
        <v>42735</v>
      </c>
      <c r="BF73" s="2613">
        <v>42735</v>
      </c>
      <c r="BG73" s="2600" t="s">
        <v>1228</v>
      </c>
    </row>
    <row r="74" spans="1:59" ht="72" customHeight="1" x14ac:dyDescent="0.2">
      <c r="A74" s="3416"/>
      <c r="B74" s="3417"/>
      <c r="C74" s="3415"/>
      <c r="D74" s="3417"/>
      <c r="E74" s="3415"/>
      <c r="F74" s="3417"/>
      <c r="G74" s="2137">
        <v>104</v>
      </c>
      <c r="H74" s="2129" t="s">
        <v>1384</v>
      </c>
      <c r="I74" s="2137" t="s">
        <v>59</v>
      </c>
      <c r="J74" s="2290">
        <v>10</v>
      </c>
      <c r="K74" s="2438">
        <v>10</v>
      </c>
      <c r="L74" s="2098"/>
      <c r="M74" s="2601"/>
      <c r="N74" s="2604"/>
      <c r="O74" s="2299">
        <v>0.16666666666666666</v>
      </c>
      <c r="P74" s="4174"/>
      <c r="Q74" s="4175"/>
      <c r="R74" s="4159"/>
      <c r="S74" s="2129" t="s">
        <v>1384</v>
      </c>
      <c r="T74" s="2453">
        <v>30000000</v>
      </c>
      <c r="U74" s="2432">
        <v>30000000</v>
      </c>
      <c r="V74" s="2432">
        <v>10000000</v>
      </c>
      <c r="W74" s="2443"/>
      <c r="X74" s="2444" t="s">
        <v>1270</v>
      </c>
      <c r="Y74" s="2603"/>
      <c r="Z74" s="4161"/>
      <c r="AA74" s="2603"/>
      <c r="AB74" s="4161"/>
      <c r="AC74" s="2603"/>
      <c r="AD74" s="4161"/>
      <c r="AE74" s="2603"/>
      <c r="AF74" s="4161"/>
      <c r="AG74" s="2603"/>
      <c r="AH74" s="4161"/>
      <c r="AI74" s="2603"/>
      <c r="AJ74" s="4161"/>
      <c r="AK74" s="2603"/>
      <c r="AL74" s="4161"/>
      <c r="AM74" s="2603"/>
      <c r="AN74" s="4161"/>
      <c r="AO74" s="2603"/>
      <c r="AP74" s="4161"/>
      <c r="AQ74" s="2603"/>
      <c r="AR74" s="4161"/>
      <c r="AS74" s="2603"/>
      <c r="AT74" s="4161"/>
      <c r="AU74" s="2603"/>
      <c r="AV74" s="4161"/>
      <c r="AW74" s="2601"/>
      <c r="AX74" s="4172"/>
      <c r="AY74" s="4172"/>
      <c r="AZ74" s="2966"/>
      <c r="BA74" s="2601"/>
      <c r="BB74" s="2601"/>
      <c r="BC74" s="2594"/>
      <c r="BD74" s="2614"/>
      <c r="BE74" s="2594"/>
      <c r="BF74" s="2614"/>
      <c r="BG74" s="3943"/>
    </row>
    <row r="75" spans="1:59" ht="81" customHeight="1" x14ac:dyDescent="0.2">
      <c r="A75" s="3416"/>
      <c r="B75" s="3417"/>
      <c r="C75" s="3415"/>
      <c r="D75" s="3417"/>
      <c r="E75" s="3415"/>
      <c r="F75" s="3417"/>
      <c r="G75" s="2137">
        <v>105</v>
      </c>
      <c r="H75" s="2129" t="s">
        <v>1385</v>
      </c>
      <c r="I75" s="2137" t="s">
        <v>59</v>
      </c>
      <c r="J75" s="2290">
        <v>47</v>
      </c>
      <c r="K75" s="2438">
        <v>45</v>
      </c>
      <c r="L75" s="588" t="s">
        <v>1386</v>
      </c>
      <c r="M75" s="2601"/>
      <c r="N75" s="2604"/>
      <c r="O75" s="2299">
        <v>0.16666666666666666</v>
      </c>
      <c r="P75" s="4174"/>
      <c r="Q75" s="4175"/>
      <c r="R75" s="4159"/>
      <c r="S75" s="2129" t="s">
        <v>1387</v>
      </c>
      <c r="T75" s="2453">
        <v>0</v>
      </c>
      <c r="U75" s="2432">
        <v>0</v>
      </c>
      <c r="V75" s="2432">
        <v>0</v>
      </c>
      <c r="W75" s="2443">
        <v>20</v>
      </c>
      <c r="X75" s="2444" t="s">
        <v>130</v>
      </c>
      <c r="Y75" s="2603"/>
      <c r="Z75" s="4161"/>
      <c r="AA75" s="2603"/>
      <c r="AB75" s="4161"/>
      <c r="AC75" s="2603"/>
      <c r="AD75" s="4161"/>
      <c r="AE75" s="2603"/>
      <c r="AF75" s="4161"/>
      <c r="AG75" s="2603"/>
      <c r="AH75" s="4161"/>
      <c r="AI75" s="2603"/>
      <c r="AJ75" s="4161"/>
      <c r="AK75" s="2603"/>
      <c r="AL75" s="4161"/>
      <c r="AM75" s="2603"/>
      <c r="AN75" s="4161"/>
      <c r="AO75" s="2603"/>
      <c r="AP75" s="4161"/>
      <c r="AQ75" s="2603"/>
      <c r="AR75" s="4161"/>
      <c r="AS75" s="2603"/>
      <c r="AT75" s="4161"/>
      <c r="AU75" s="2603"/>
      <c r="AV75" s="4161"/>
      <c r="AW75" s="2601"/>
      <c r="AX75" s="4172"/>
      <c r="AY75" s="4172"/>
      <c r="AZ75" s="2966"/>
      <c r="BA75" s="2601"/>
      <c r="BB75" s="2601"/>
      <c r="BC75" s="2594"/>
      <c r="BD75" s="2614"/>
      <c r="BE75" s="2594"/>
      <c r="BF75" s="2614"/>
      <c r="BG75" s="3943"/>
    </row>
    <row r="76" spans="1:59" ht="72" customHeight="1" x14ac:dyDescent="0.2">
      <c r="A76" s="3416"/>
      <c r="B76" s="3417"/>
      <c r="C76" s="3415"/>
      <c r="D76" s="3417"/>
      <c r="E76" s="3415"/>
      <c r="F76" s="3417"/>
      <c r="G76" s="2137">
        <v>106</v>
      </c>
      <c r="H76" s="2129" t="s">
        <v>1388</v>
      </c>
      <c r="I76" s="2137" t="s">
        <v>59</v>
      </c>
      <c r="J76" s="2290">
        <v>1</v>
      </c>
      <c r="K76" s="531">
        <v>0</v>
      </c>
      <c r="L76" s="588" t="s">
        <v>1389</v>
      </c>
      <c r="M76" s="2601"/>
      <c r="N76" s="2604"/>
      <c r="O76" s="2299">
        <v>0.27777777777777779</v>
      </c>
      <c r="P76" s="4174"/>
      <c r="Q76" s="4175"/>
      <c r="R76" s="4159"/>
      <c r="S76" s="2129" t="s">
        <v>1388</v>
      </c>
      <c r="T76" s="2453">
        <v>0</v>
      </c>
      <c r="U76" s="2432"/>
      <c r="V76" s="2432"/>
      <c r="W76" s="2443">
        <v>25</v>
      </c>
      <c r="X76" s="2444" t="s">
        <v>130</v>
      </c>
      <c r="Y76" s="2603"/>
      <c r="Z76" s="4161"/>
      <c r="AA76" s="2603"/>
      <c r="AB76" s="4161"/>
      <c r="AC76" s="2603"/>
      <c r="AD76" s="4161"/>
      <c r="AE76" s="2603"/>
      <c r="AF76" s="4161"/>
      <c r="AG76" s="2603"/>
      <c r="AH76" s="4161"/>
      <c r="AI76" s="2603"/>
      <c r="AJ76" s="4161"/>
      <c r="AK76" s="2603"/>
      <c r="AL76" s="4161"/>
      <c r="AM76" s="2603"/>
      <c r="AN76" s="4161"/>
      <c r="AO76" s="2603"/>
      <c r="AP76" s="4161"/>
      <c r="AQ76" s="2603"/>
      <c r="AR76" s="4161"/>
      <c r="AS76" s="2603"/>
      <c r="AT76" s="4161"/>
      <c r="AU76" s="2603"/>
      <c r="AV76" s="4161"/>
      <c r="AW76" s="2601"/>
      <c r="AX76" s="4172"/>
      <c r="AY76" s="4172"/>
      <c r="AZ76" s="2966"/>
      <c r="BA76" s="2601"/>
      <c r="BB76" s="2601"/>
      <c r="BC76" s="2594"/>
      <c r="BD76" s="2614"/>
      <c r="BE76" s="2594"/>
      <c r="BF76" s="2614"/>
      <c r="BG76" s="3943"/>
    </row>
    <row r="77" spans="1:59" ht="81.75" customHeight="1" x14ac:dyDescent="0.2">
      <c r="A77" s="3416"/>
      <c r="B77" s="3417"/>
      <c r="C77" s="3418"/>
      <c r="D77" s="3420"/>
      <c r="E77" s="3418"/>
      <c r="F77" s="3420"/>
      <c r="G77" s="2137">
        <v>107</v>
      </c>
      <c r="H77" s="2129" t="s">
        <v>1390</v>
      </c>
      <c r="I77" s="2137" t="s">
        <v>59</v>
      </c>
      <c r="J77" s="2290">
        <v>1</v>
      </c>
      <c r="K77" s="2438">
        <v>1</v>
      </c>
      <c r="L77" s="2099"/>
      <c r="M77" s="2636"/>
      <c r="N77" s="2604"/>
      <c r="O77" s="2299">
        <v>0.27777777777777779</v>
      </c>
      <c r="P77" s="4157"/>
      <c r="Q77" s="4158"/>
      <c r="R77" s="4159"/>
      <c r="S77" s="2129" t="s">
        <v>1390</v>
      </c>
      <c r="T77" s="2453">
        <v>130000000</v>
      </c>
      <c r="U77" s="2432">
        <v>988000</v>
      </c>
      <c r="V77" s="2432">
        <v>988000</v>
      </c>
      <c r="W77" s="2447"/>
      <c r="X77" s="2444" t="s">
        <v>1391</v>
      </c>
      <c r="Y77" s="3435"/>
      <c r="Z77" s="4162"/>
      <c r="AA77" s="3435"/>
      <c r="AB77" s="4162"/>
      <c r="AC77" s="3435"/>
      <c r="AD77" s="4162"/>
      <c r="AE77" s="3435"/>
      <c r="AF77" s="4162"/>
      <c r="AG77" s="3435"/>
      <c r="AH77" s="4162"/>
      <c r="AI77" s="3435"/>
      <c r="AJ77" s="4162"/>
      <c r="AK77" s="3435"/>
      <c r="AL77" s="4162"/>
      <c r="AM77" s="3435"/>
      <c r="AN77" s="4162"/>
      <c r="AO77" s="3435"/>
      <c r="AP77" s="4162"/>
      <c r="AQ77" s="3435"/>
      <c r="AR77" s="4162"/>
      <c r="AS77" s="3435"/>
      <c r="AT77" s="4162"/>
      <c r="AU77" s="3435"/>
      <c r="AV77" s="4162"/>
      <c r="AW77" s="2636"/>
      <c r="AX77" s="4173"/>
      <c r="AY77" s="4173"/>
      <c r="AZ77" s="2967"/>
      <c r="BA77" s="2636"/>
      <c r="BB77" s="2636"/>
      <c r="BC77" s="3400"/>
      <c r="BD77" s="2632"/>
      <c r="BE77" s="3400"/>
      <c r="BF77" s="2632"/>
      <c r="BG77" s="4163"/>
    </row>
    <row r="78" spans="1:59" ht="15" x14ac:dyDescent="0.2">
      <c r="A78" s="3416"/>
      <c r="B78" s="3417"/>
      <c r="C78" s="589">
        <v>8</v>
      </c>
      <c r="D78" s="590" t="s">
        <v>1392</v>
      </c>
      <c r="E78" s="2212"/>
      <c r="F78" s="2212"/>
      <c r="G78" s="2212"/>
      <c r="H78" s="1572"/>
      <c r="I78" s="2212"/>
      <c r="J78" s="2212"/>
      <c r="K78" s="591"/>
      <c r="L78" s="2212"/>
      <c r="M78" s="2212"/>
      <c r="N78" s="2212"/>
      <c r="O78" s="2212"/>
      <c r="P78" s="2212"/>
      <c r="Q78" s="2212"/>
      <c r="R78" s="1572"/>
      <c r="S78" s="1572"/>
      <c r="T78" s="1751"/>
      <c r="U78" s="1752"/>
      <c r="V78" s="1752"/>
      <c r="W78" s="1577"/>
      <c r="X78" s="1572"/>
      <c r="Y78" s="592"/>
      <c r="Z78" s="593"/>
      <c r="AA78" s="592"/>
      <c r="AB78" s="593"/>
      <c r="AC78" s="592"/>
      <c r="AD78" s="593"/>
      <c r="AE78" s="592"/>
      <c r="AF78" s="593"/>
      <c r="AG78" s="592"/>
      <c r="AH78" s="593"/>
      <c r="AI78" s="592"/>
      <c r="AJ78" s="593"/>
      <c r="AK78" s="592"/>
      <c r="AL78" s="593"/>
      <c r="AM78" s="592"/>
      <c r="AN78" s="593"/>
      <c r="AO78" s="592"/>
      <c r="AP78" s="593"/>
      <c r="AQ78" s="592"/>
      <c r="AR78" s="593"/>
      <c r="AS78" s="592"/>
      <c r="AT78" s="593"/>
      <c r="AU78" s="592"/>
      <c r="AV78" s="593"/>
      <c r="AW78" s="2212"/>
      <c r="AX78" s="594"/>
      <c r="AY78" s="2212"/>
      <c r="AZ78" s="2212"/>
      <c r="BA78" s="2212"/>
      <c r="BB78" s="2212"/>
      <c r="BC78" s="2212"/>
      <c r="BD78" s="591"/>
      <c r="BE78" s="2212"/>
      <c r="BF78" s="591"/>
      <c r="BG78" s="595"/>
    </row>
    <row r="79" spans="1:59" ht="15" x14ac:dyDescent="0.2">
      <c r="A79" s="3416"/>
      <c r="B79" s="3417"/>
      <c r="C79" s="3415"/>
      <c r="D79" s="3417"/>
      <c r="E79" s="596">
        <v>25</v>
      </c>
      <c r="F79" s="597" t="s">
        <v>1393</v>
      </c>
      <c r="G79" s="598"/>
      <c r="H79" s="1058"/>
      <c r="I79" s="598"/>
      <c r="J79" s="598"/>
      <c r="K79" s="599"/>
      <c r="L79" s="598"/>
      <c r="M79" s="598"/>
      <c r="N79" s="598"/>
      <c r="O79" s="598"/>
      <c r="P79" s="598"/>
      <c r="Q79" s="598"/>
      <c r="R79" s="1058"/>
      <c r="S79" s="1058"/>
      <c r="T79" s="1753"/>
      <c r="U79" s="1754"/>
      <c r="V79" s="1754"/>
      <c r="W79" s="1059"/>
      <c r="X79" s="1058"/>
      <c r="Y79" s="600"/>
      <c r="Z79" s="601"/>
      <c r="AA79" s="600"/>
      <c r="AB79" s="601"/>
      <c r="AC79" s="600"/>
      <c r="AD79" s="601"/>
      <c r="AE79" s="600"/>
      <c r="AF79" s="601"/>
      <c r="AG79" s="600"/>
      <c r="AH79" s="601"/>
      <c r="AI79" s="600"/>
      <c r="AJ79" s="601"/>
      <c r="AK79" s="600"/>
      <c r="AL79" s="601"/>
      <c r="AM79" s="600"/>
      <c r="AN79" s="601"/>
      <c r="AO79" s="600"/>
      <c r="AP79" s="601"/>
      <c r="AQ79" s="600"/>
      <c r="AR79" s="601"/>
      <c r="AS79" s="600"/>
      <c r="AT79" s="601"/>
      <c r="AU79" s="600"/>
      <c r="AV79" s="601"/>
      <c r="AW79" s="598"/>
      <c r="AX79" s="602"/>
      <c r="AY79" s="598"/>
      <c r="AZ79" s="598"/>
      <c r="BA79" s="598"/>
      <c r="BB79" s="598"/>
      <c r="BC79" s="598"/>
      <c r="BD79" s="599"/>
      <c r="BE79" s="598"/>
      <c r="BF79" s="599"/>
      <c r="BG79" s="603"/>
    </row>
    <row r="80" spans="1:59" ht="109.5" customHeight="1" x14ac:dyDescent="0.2">
      <c r="A80" s="3416"/>
      <c r="B80" s="3417"/>
      <c r="C80" s="3415"/>
      <c r="D80" s="3417"/>
      <c r="E80" s="3412"/>
      <c r="F80" s="3414"/>
      <c r="G80" s="2137">
        <v>108</v>
      </c>
      <c r="H80" s="2129" t="s">
        <v>1394</v>
      </c>
      <c r="I80" s="2137" t="s">
        <v>59</v>
      </c>
      <c r="J80" s="2290">
        <v>4</v>
      </c>
      <c r="K80" s="604">
        <v>4</v>
      </c>
      <c r="L80" s="2600" t="s">
        <v>1395</v>
      </c>
      <c r="M80" s="2600">
        <v>96</v>
      </c>
      <c r="N80" s="2604" t="s">
        <v>1396</v>
      </c>
      <c r="O80" s="2299">
        <v>0.13</v>
      </c>
      <c r="P80" s="4156">
        <v>80000000</v>
      </c>
      <c r="Q80" s="2605" t="s">
        <v>1397</v>
      </c>
      <c r="R80" s="2129" t="s">
        <v>1398</v>
      </c>
      <c r="S80" s="2129" t="s">
        <v>1394</v>
      </c>
      <c r="T80" s="2453">
        <v>10000000</v>
      </c>
      <c r="U80" s="2432">
        <v>7120160</v>
      </c>
      <c r="V80" s="2432">
        <v>7120160</v>
      </c>
      <c r="W80" s="4164">
        <v>20</v>
      </c>
      <c r="X80" s="2605" t="s">
        <v>130</v>
      </c>
      <c r="Y80" s="2602">
        <v>2732</v>
      </c>
      <c r="Z80" s="4160">
        <v>2732</v>
      </c>
      <c r="AA80" s="2602">
        <v>17360</v>
      </c>
      <c r="AB80" s="4160">
        <v>17360</v>
      </c>
      <c r="AC80" s="2602">
        <v>21116</v>
      </c>
      <c r="AD80" s="4160">
        <v>21116</v>
      </c>
      <c r="AE80" s="2602"/>
      <c r="AF80" s="4160"/>
      <c r="AG80" s="2602">
        <v>4451</v>
      </c>
      <c r="AH80" s="4160">
        <v>4451</v>
      </c>
      <c r="AI80" s="2602"/>
      <c r="AJ80" s="4160"/>
      <c r="AK80" s="2602">
        <v>247</v>
      </c>
      <c r="AL80" s="4160">
        <v>247</v>
      </c>
      <c r="AM80" s="2602">
        <v>217</v>
      </c>
      <c r="AN80" s="4160">
        <v>217</v>
      </c>
      <c r="AO80" s="2602">
        <v>60</v>
      </c>
      <c r="AP80" s="4160">
        <v>60</v>
      </c>
      <c r="AQ80" s="2602">
        <v>2484</v>
      </c>
      <c r="AR80" s="4160">
        <v>2484</v>
      </c>
      <c r="AS80" s="2602">
        <v>4575</v>
      </c>
      <c r="AT80" s="4160">
        <v>4575</v>
      </c>
      <c r="AU80" s="2602">
        <v>56</v>
      </c>
      <c r="AV80" s="4160">
        <v>56</v>
      </c>
      <c r="AW80" s="2600">
        <v>2</v>
      </c>
      <c r="AX80" s="4171">
        <v>9120160</v>
      </c>
      <c r="AY80" s="4171">
        <v>9120160</v>
      </c>
      <c r="AZ80" s="2620">
        <f>+AY80/AX80</f>
        <v>1</v>
      </c>
      <c r="BA80" s="2600" t="s">
        <v>714</v>
      </c>
      <c r="BB80" s="2600" t="s">
        <v>1399</v>
      </c>
      <c r="BC80" s="2593">
        <v>42583</v>
      </c>
      <c r="BD80" s="2613">
        <v>42614</v>
      </c>
      <c r="BE80" s="2593">
        <v>42735</v>
      </c>
      <c r="BF80" s="2613">
        <v>42704</v>
      </c>
      <c r="BG80" s="2600" t="s">
        <v>1228</v>
      </c>
    </row>
    <row r="81" spans="1:59" ht="129.75" customHeight="1" x14ac:dyDescent="0.2">
      <c r="A81" s="3416"/>
      <c r="B81" s="3417"/>
      <c r="C81" s="3415"/>
      <c r="D81" s="3417"/>
      <c r="E81" s="3418"/>
      <c r="F81" s="3420"/>
      <c r="G81" s="2137">
        <v>109</v>
      </c>
      <c r="H81" s="2129" t="s">
        <v>1400</v>
      </c>
      <c r="I81" s="2137" t="s">
        <v>59</v>
      </c>
      <c r="J81" s="2290">
        <v>52</v>
      </c>
      <c r="K81" s="2156">
        <v>52</v>
      </c>
      <c r="L81" s="2636"/>
      <c r="M81" s="2636"/>
      <c r="N81" s="2604"/>
      <c r="O81" s="2299">
        <v>0.87</v>
      </c>
      <c r="P81" s="4157"/>
      <c r="Q81" s="4158"/>
      <c r="R81" s="2129" t="s">
        <v>1401</v>
      </c>
      <c r="S81" s="2129" t="s">
        <v>1400</v>
      </c>
      <c r="T81" s="2453">
        <v>70000000</v>
      </c>
      <c r="U81" s="2432">
        <v>2000000</v>
      </c>
      <c r="V81" s="2432">
        <v>2000000</v>
      </c>
      <c r="W81" s="4165"/>
      <c r="X81" s="4158"/>
      <c r="Y81" s="3435"/>
      <c r="Z81" s="4162"/>
      <c r="AA81" s="3435"/>
      <c r="AB81" s="4162"/>
      <c r="AC81" s="3435"/>
      <c r="AD81" s="4162"/>
      <c r="AE81" s="3435"/>
      <c r="AF81" s="4162"/>
      <c r="AG81" s="3435"/>
      <c r="AH81" s="4162"/>
      <c r="AI81" s="3435"/>
      <c r="AJ81" s="4162"/>
      <c r="AK81" s="3435"/>
      <c r="AL81" s="4162"/>
      <c r="AM81" s="3435"/>
      <c r="AN81" s="4162"/>
      <c r="AO81" s="3435"/>
      <c r="AP81" s="4162"/>
      <c r="AQ81" s="3435"/>
      <c r="AR81" s="4162"/>
      <c r="AS81" s="3435"/>
      <c r="AT81" s="4162"/>
      <c r="AU81" s="3435"/>
      <c r="AV81" s="4162"/>
      <c r="AW81" s="2636"/>
      <c r="AX81" s="4173"/>
      <c r="AY81" s="4173"/>
      <c r="AZ81" s="2967"/>
      <c r="BA81" s="2636"/>
      <c r="BB81" s="2636"/>
      <c r="BC81" s="3400"/>
      <c r="BD81" s="2632"/>
      <c r="BE81" s="3400"/>
      <c r="BF81" s="2632"/>
      <c r="BG81" s="4163"/>
    </row>
    <row r="82" spans="1:59" ht="15" x14ac:dyDescent="0.2">
      <c r="A82" s="3416"/>
      <c r="B82" s="3417"/>
      <c r="C82" s="3415"/>
      <c r="D82" s="3417"/>
      <c r="E82" s="524">
        <v>26</v>
      </c>
      <c r="F82" s="2193" t="s">
        <v>1402</v>
      </c>
      <c r="G82" s="582"/>
      <c r="H82" s="920"/>
      <c r="I82" s="582"/>
      <c r="J82" s="582"/>
      <c r="K82" s="583"/>
      <c r="L82" s="582"/>
      <c r="M82" s="582"/>
      <c r="N82" s="582"/>
      <c r="O82" s="582"/>
      <c r="P82" s="582"/>
      <c r="Q82" s="582"/>
      <c r="R82" s="920"/>
      <c r="S82" s="920"/>
      <c r="T82" s="1749"/>
      <c r="U82" s="1750"/>
      <c r="V82" s="1750"/>
      <c r="W82" s="215"/>
      <c r="X82" s="920"/>
      <c r="Y82" s="584"/>
      <c r="Z82" s="585"/>
      <c r="AA82" s="584"/>
      <c r="AB82" s="585"/>
      <c r="AC82" s="584"/>
      <c r="AD82" s="585"/>
      <c r="AE82" s="584"/>
      <c r="AF82" s="585"/>
      <c r="AG82" s="584"/>
      <c r="AH82" s="585"/>
      <c r="AI82" s="584"/>
      <c r="AJ82" s="585"/>
      <c r="AK82" s="584"/>
      <c r="AL82" s="585"/>
      <c r="AM82" s="584"/>
      <c r="AN82" s="585"/>
      <c r="AO82" s="584"/>
      <c r="AP82" s="585"/>
      <c r="AQ82" s="584"/>
      <c r="AR82" s="585"/>
      <c r="AS82" s="584"/>
      <c r="AT82" s="585"/>
      <c r="AU82" s="584"/>
      <c r="AV82" s="585"/>
      <c r="AW82" s="582"/>
      <c r="AX82" s="586"/>
      <c r="AY82" s="582"/>
      <c r="AZ82" s="582"/>
      <c r="BA82" s="582"/>
      <c r="BB82" s="582"/>
      <c r="BC82" s="582"/>
      <c r="BD82" s="583"/>
      <c r="BE82" s="582"/>
      <c r="BF82" s="583"/>
      <c r="BG82" s="587"/>
    </row>
    <row r="83" spans="1:59" ht="70.5" customHeight="1" x14ac:dyDescent="0.2">
      <c r="A83" s="3416"/>
      <c r="B83" s="3417"/>
      <c r="C83" s="3415"/>
      <c r="D83" s="3417"/>
      <c r="E83" s="3412"/>
      <c r="F83" s="3414"/>
      <c r="G83" s="2626">
        <v>110</v>
      </c>
      <c r="H83" s="2604" t="s">
        <v>1403</v>
      </c>
      <c r="I83" s="2626" t="s">
        <v>59</v>
      </c>
      <c r="J83" s="3401">
        <v>200</v>
      </c>
      <c r="K83" s="4203">
        <v>175</v>
      </c>
      <c r="L83" s="605" t="s">
        <v>1404</v>
      </c>
      <c r="M83" s="2626">
        <v>97</v>
      </c>
      <c r="N83" s="2604" t="s">
        <v>1405</v>
      </c>
      <c r="O83" s="3448">
        <v>1</v>
      </c>
      <c r="P83" s="2621">
        <v>929538539.44000006</v>
      </c>
      <c r="Q83" s="2600" t="s">
        <v>1406</v>
      </c>
      <c r="R83" s="2605" t="s">
        <v>1407</v>
      </c>
      <c r="S83" s="2605" t="s">
        <v>1403</v>
      </c>
      <c r="T83" s="4170">
        <v>929538539</v>
      </c>
      <c r="U83" s="4168">
        <v>592376257</v>
      </c>
      <c r="V83" s="4169">
        <v>592376257</v>
      </c>
      <c r="W83" s="2446">
        <v>35</v>
      </c>
      <c r="X83" s="2130" t="s">
        <v>1408</v>
      </c>
      <c r="Y83" s="2602">
        <v>2732</v>
      </c>
      <c r="Z83" s="4160">
        <v>2732</v>
      </c>
      <c r="AA83" s="2602">
        <v>17360</v>
      </c>
      <c r="AB83" s="4160">
        <v>17360</v>
      </c>
      <c r="AC83" s="2602">
        <v>21116</v>
      </c>
      <c r="AD83" s="4160">
        <v>21116</v>
      </c>
      <c r="AE83" s="2602"/>
      <c r="AF83" s="4160"/>
      <c r="AG83" s="2602">
        <v>4451</v>
      </c>
      <c r="AH83" s="4160">
        <v>4451</v>
      </c>
      <c r="AI83" s="2602"/>
      <c r="AJ83" s="4160"/>
      <c r="AK83" s="2602">
        <v>247</v>
      </c>
      <c r="AL83" s="4160">
        <v>247</v>
      </c>
      <c r="AM83" s="2602">
        <v>217</v>
      </c>
      <c r="AN83" s="4160">
        <v>217</v>
      </c>
      <c r="AO83" s="2602">
        <v>60</v>
      </c>
      <c r="AP83" s="4160">
        <v>60</v>
      </c>
      <c r="AQ83" s="2602">
        <v>2484</v>
      </c>
      <c r="AR83" s="4160">
        <v>2484</v>
      </c>
      <c r="AS83" s="2602">
        <v>4575</v>
      </c>
      <c r="AT83" s="4160">
        <v>4575</v>
      </c>
      <c r="AU83" s="2602">
        <v>56</v>
      </c>
      <c r="AV83" s="4160">
        <v>56</v>
      </c>
      <c r="AW83" s="2600">
        <v>1</v>
      </c>
      <c r="AX83" s="2637">
        <v>592376257</v>
      </c>
      <c r="AY83" s="4167">
        <v>592376257</v>
      </c>
      <c r="AZ83" s="2620">
        <f>+AY83/AX83</f>
        <v>1</v>
      </c>
      <c r="BA83" s="2600"/>
      <c r="BB83" s="3891" t="s">
        <v>1409</v>
      </c>
      <c r="BC83" s="2593">
        <v>42583</v>
      </c>
      <c r="BD83" s="2613">
        <v>42552</v>
      </c>
      <c r="BE83" s="2593">
        <v>42735</v>
      </c>
      <c r="BF83" s="2613">
        <v>11688</v>
      </c>
      <c r="BG83" s="2600" t="s">
        <v>1228</v>
      </c>
    </row>
    <row r="84" spans="1:59" ht="70.5" customHeight="1" x14ac:dyDescent="0.2">
      <c r="A84" s="3416"/>
      <c r="B84" s="3417"/>
      <c r="C84" s="3415"/>
      <c r="D84" s="3417"/>
      <c r="E84" s="3415"/>
      <c r="F84" s="3417"/>
      <c r="G84" s="2626"/>
      <c r="H84" s="2604"/>
      <c r="I84" s="2626"/>
      <c r="J84" s="3401"/>
      <c r="K84" s="4203"/>
      <c r="L84" s="588" t="s">
        <v>1410</v>
      </c>
      <c r="M84" s="2626"/>
      <c r="N84" s="2604"/>
      <c r="O84" s="3448"/>
      <c r="P84" s="2621"/>
      <c r="Q84" s="2601"/>
      <c r="R84" s="2987"/>
      <c r="S84" s="2987"/>
      <c r="T84" s="4170"/>
      <c r="U84" s="4168"/>
      <c r="V84" s="4169"/>
      <c r="W84" s="4164">
        <v>25</v>
      </c>
      <c r="X84" s="4166" t="s">
        <v>1270</v>
      </c>
      <c r="Y84" s="2603"/>
      <c r="Z84" s="4161"/>
      <c r="AA84" s="2603"/>
      <c r="AB84" s="4161"/>
      <c r="AC84" s="2603"/>
      <c r="AD84" s="4161"/>
      <c r="AE84" s="2603"/>
      <c r="AF84" s="4161"/>
      <c r="AG84" s="2603"/>
      <c r="AH84" s="4161"/>
      <c r="AI84" s="2603"/>
      <c r="AJ84" s="4161"/>
      <c r="AK84" s="2603"/>
      <c r="AL84" s="4161"/>
      <c r="AM84" s="2603"/>
      <c r="AN84" s="4161"/>
      <c r="AO84" s="2603"/>
      <c r="AP84" s="4161"/>
      <c r="AQ84" s="2603"/>
      <c r="AR84" s="4161"/>
      <c r="AS84" s="2603"/>
      <c r="AT84" s="4161"/>
      <c r="AU84" s="2603"/>
      <c r="AV84" s="4161"/>
      <c r="AW84" s="2601"/>
      <c r="AX84" s="2637"/>
      <c r="AY84" s="4167"/>
      <c r="AZ84" s="2966"/>
      <c r="BA84" s="2601"/>
      <c r="BB84" s="3926"/>
      <c r="BC84" s="2594"/>
      <c r="BD84" s="2614"/>
      <c r="BE84" s="2594"/>
      <c r="BF84" s="2614"/>
      <c r="BG84" s="2601"/>
    </row>
    <row r="85" spans="1:59" ht="70.5" customHeight="1" x14ac:dyDescent="0.2">
      <c r="A85" s="3416"/>
      <c r="B85" s="3417"/>
      <c r="C85" s="3415"/>
      <c r="D85" s="3417"/>
      <c r="E85" s="3415"/>
      <c r="F85" s="3417"/>
      <c r="G85" s="2626"/>
      <c r="H85" s="2604"/>
      <c r="I85" s="2626"/>
      <c r="J85" s="3401"/>
      <c r="K85" s="4203"/>
      <c r="L85" s="606" t="s">
        <v>1411</v>
      </c>
      <c r="M85" s="2626"/>
      <c r="N85" s="2604"/>
      <c r="O85" s="3448"/>
      <c r="P85" s="2621"/>
      <c r="Q85" s="2601"/>
      <c r="R85" s="2987"/>
      <c r="S85" s="2987"/>
      <c r="T85" s="4170"/>
      <c r="U85" s="4168"/>
      <c r="V85" s="4169"/>
      <c r="W85" s="4165"/>
      <c r="X85" s="4158"/>
      <c r="Y85" s="3435"/>
      <c r="Z85" s="4162"/>
      <c r="AA85" s="3435"/>
      <c r="AB85" s="4162"/>
      <c r="AC85" s="3435"/>
      <c r="AD85" s="4162"/>
      <c r="AE85" s="3435"/>
      <c r="AF85" s="4162"/>
      <c r="AG85" s="3435"/>
      <c r="AH85" s="4162"/>
      <c r="AI85" s="3435"/>
      <c r="AJ85" s="4162"/>
      <c r="AK85" s="3435"/>
      <c r="AL85" s="4162"/>
      <c r="AM85" s="3435"/>
      <c r="AN85" s="4162"/>
      <c r="AO85" s="3435"/>
      <c r="AP85" s="4162"/>
      <c r="AQ85" s="3435"/>
      <c r="AR85" s="4162"/>
      <c r="AS85" s="3435"/>
      <c r="AT85" s="4162"/>
      <c r="AU85" s="3435"/>
      <c r="AV85" s="4162"/>
      <c r="AW85" s="2636"/>
      <c r="AX85" s="2637"/>
      <c r="AY85" s="4167"/>
      <c r="AZ85" s="2967"/>
      <c r="BA85" s="2636"/>
      <c r="BB85" s="3926"/>
      <c r="BC85" s="3400"/>
      <c r="BD85" s="2632"/>
      <c r="BE85" s="3400"/>
      <c r="BF85" s="2632"/>
      <c r="BG85" s="2636"/>
    </row>
    <row r="86" spans="1:59" ht="70.5" customHeight="1" x14ac:dyDescent="0.2">
      <c r="A86" s="3416"/>
      <c r="B86" s="3417"/>
      <c r="C86" s="3415"/>
      <c r="D86" s="3417"/>
      <c r="E86" s="3418"/>
      <c r="F86" s="3420"/>
      <c r="G86" s="2137">
        <f>G83</f>
        <v>110</v>
      </c>
      <c r="H86" s="2129" t="s">
        <v>1403</v>
      </c>
      <c r="I86" s="2137" t="s">
        <v>146</v>
      </c>
      <c r="J86" s="2290">
        <v>200</v>
      </c>
      <c r="K86" s="2434">
        <v>175</v>
      </c>
      <c r="L86" s="606" t="s">
        <v>1412</v>
      </c>
      <c r="M86" s="2137">
        <v>8</v>
      </c>
      <c r="N86" s="2129" t="s">
        <v>1413</v>
      </c>
      <c r="O86" s="2299">
        <v>1</v>
      </c>
      <c r="P86" s="2133">
        <v>585122890.55999994</v>
      </c>
      <c r="Q86" s="2636"/>
      <c r="R86" s="2988"/>
      <c r="S86" s="2988"/>
      <c r="T86" s="2453">
        <v>585122891</v>
      </c>
      <c r="U86" s="1755">
        <v>496392994</v>
      </c>
      <c r="V86" s="1755">
        <v>496392994</v>
      </c>
      <c r="W86" s="545">
        <v>25</v>
      </c>
      <c r="X86" s="2452" t="s">
        <v>1270</v>
      </c>
      <c r="Y86" s="2290"/>
      <c r="Z86" s="2438"/>
      <c r="AA86" s="2290"/>
      <c r="AB86" s="2438"/>
      <c r="AC86" s="2290"/>
      <c r="AD86" s="2438"/>
      <c r="AE86" s="2290"/>
      <c r="AF86" s="2438"/>
      <c r="AG86" s="2290"/>
      <c r="AH86" s="2438"/>
      <c r="AI86" s="2290"/>
      <c r="AJ86" s="2438"/>
      <c r="AK86" s="2290"/>
      <c r="AL86" s="2438"/>
      <c r="AM86" s="2290"/>
      <c r="AN86" s="2438"/>
      <c r="AO86" s="2290"/>
      <c r="AP86" s="2438"/>
      <c r="AQ86" s="2290"/>
      <c r="AR86" s="2438"/>
      <c r="AS86" s="2290"/>
      <c r="AT86" s="2438"/>
      <c r="AU86" s="2290"/>
      <c r="AV86" s="2438"/>
      <c r="AW86" s="2137">
        <v>1</v>
      </c>
      <c r="AX86" s="608">
        <v>496392994</v>
      </c>
      <c r="AY86" s="608">
        <v>496392994</v>
      </c>
      <c r="AZ86" s="2131">
        <f>+AY86/AX86</f>
        <v>1</v>
      </c>
      <c r="BA86" s="2137" t="s">
        <v>1414</v>
      </c>
      <c r="BB86" s="4224"/>
      <c r="BC86" s="2294">
        <v>42583</v>
      </c>
      <c r="BD86" s="2297">
        <v>42552</v>
      </c>
      <c r="BE86" s="2294">
        <v>42735</v>
      </c>
      <c r="BF86" s="2297">
        <v>11688</v>
      </c>
      <c r="BG86" s="2137" t="s">
        <v>1228</v>
      </c>
    </row>
    <row r="87" spans="1:59" ht="15" x14ac:dyDescent="0.2">
      <c r="A87" s="3416"/>
      <c r="B87" s="3417"/>
      <c r="C87" s="3415"/>
      <c r="D87" s="3417"/>
      <c r="E87" s="524">
        <v>27</v>
      </c>
      <c r="F87" s="525" t="s">
        <v>1415</v>
      </c>
      <c r="G87" s="50"/>
      <c r="H87" s="412"/>
      <c r="I87" s="50"/>
      <c r="J87" s="50"/>
      <c r="K87" s="411"/>
      <c r="L87" s="50"/>
      <c r="M87" s="50"/>
      <c r="N87" s="50"/>
      <c r="O87" s="50"/>
      <c r="P87" s="50"/>
      <c r="Q87" s="50"/>
      <c r="R87" s="412"/>
      <c r="S87" s="412"/>
      <c r="T87" s="1493"/>
      <c r="U87" s="1740"/>
      <c r="V87" s="1740"/>
      <c r="W87" s="2520"/>
      <c r="X87" s="412"/>
      <c r="Y87" s="532"/>
      <c r="Z87" s="533"/>
      <c r="AA87" s="532"/>
      <c r="AB87" s="533"/>
      <c r="AC87" s="532"/>
      <c r="AD87" s="533"/>
      <c r="AE87" s="532"/>
      <c r="AF87" s="533"/>
      <c r="AG87" s="532"/>
      <c r="AH87" s="533"/>
      <c r="AI87" s="532"/>
      <c r="AJ87" s="533"/>
      <c r="AK87" s="532"/>
      <c r="AL87" s="533"/>
      <c r="AM87" s="532"/>
      <c r="AN87" s="533"/>
      <c r="AO87" s="532"/>
      <c r="AP87" s="533"/>
      <c r="AQ87" s="532"/>
      <c r="AR87" s="533"/>
      <c r="AS87" s="532"/>
      <c r="AT87" s="533"/>
      <c r="AU87" s="532"/>
      <c r="AV87" s="533"/>
      <c r="AW87" s="50"/>
      <c r="AX87" s="526"/>
      <c r="AY87" s="50"/>
      <c r="AZ87" s="50"/>
      <c r="BA87" s="50"/>
      <c r="BB87" s="50"/>
      <c r="BC87" s="50"/>
      <c r="BD87" s="411"/>
      <c r="BE87" s="50"/>
      <c r="BF87" s="411"/>
      <c r="BG87" s="527"/>
    </row>
    <row r="88" spans="1:59" ht="140.25" customHeight="1" x14ac:dyDescent="0.2">
      <c r="A88" s="3416"/>
      <c r="B88" s="3417"/>
      <c r="C88" s="3415"/>
      <c r="D88" s="3417"/>
      <c r="E88" s="3412"/>
      <c r="F88" s="3414"/>
      <c r="G88" s="2137">
        <v>111</v>
      </c>
      <c r="H88" s="2129" t="s">
        <v>1416</v>
      </c>
      <c r="I88" s="2137" t="s">
        <v>59</v>
      </c>
      <c r="J88" s="609">
        <v>1</v>
      </c>
      <c r="K88" s="610">
        <v>1</v>
      </c>
      <c r="L88" s="2137" t="s">
        <v>1417</v>
      </c>
      <c r="M88" s="2137">
        <v>98</v>
      </c>
      <c r="N88" s="2129" t="s">
        <v>1418</v>
      </c>
      <c r="O88" s="2299">
        <v>1</v>
      </c>
      <c r="P88" s="543">
        <v>7710882667.8900003</v>
      </c>
      <c r="Q88" s="2129" t="s">
        <v>1419</v>
      </c>
      <c r="R88" s="2129" t="s">
        <v>1420</v>
      </c>
      <c r="S88" s="2129" t="s">
        <v>1416</v>
      </c>
      <c r="T88" s="1727">
        <v>7710882667.8900003</v>
      </c>
      <c r="U88" s="2432">
        <v>7265325593.04</v>
      </c>
      <c r="V88" s="2432">
        <v>7263125592.04</v>
      </c>
      <c r="W88" s="545">
        <v>25</v>
      </c>
      <c r="X88" s="2452" t="s">
        <v>1270</v>
      </c>
      <c r="Y88" s="2290">
        <v>2732</v>
      </c>
      <c r="Z88" s="2438">
        <v>2732</v>
      </c>
      <c r="AA88" s="2290">
        <v>17360</v>
      </c>
      <c r="AB88" s="2438">
        <v>17360</v>
      </c>
      <c r="AC88" s="2290">
        <v>21116</v>
      </c>
      <c r="AD88" s="2438">
        <v>21116</v>
      </c>
      <c r="AE88" s="2290"/>
      <c r="AF88" s="2438"/>
      <c r="AG88" s="2290">
        <v>4451</v>
      </c>
      <c r="AH88" s="2438">
        <v>4451</v>
      </c>
      <c r="AI88" s="2290"/>
      <c r="AJ88" s="2438"/>
      <c r="AK88" s="2290">
        <v>247</v>
      </c>
      <c r="AL88" s="2438">
        <v>247</v>
      </c>
      <c r="AM88" s="2290">
        <v>217</v>
      </c>
      <c r="AN88" s="2438">
        <v>217</v>
      </c>
      <c r="AO88" s="2290">
        <v>60</v>
      </c>
      <c r="AP88" s="2438">
        <v>60</v>
      </c>
      <c r="AQ88" s="2290">
        <v>2484</v>
      </c>
      <c r="AR88" s="2438">
        <v>2484</v>
      </c>
      <c r="AS88" s="2290">
        <v>4575</v>
      </c>
      <c r="AT88" s="2438">
        <v>4575</v>
      </c>
      <c r="AU88" s="2290">
        <v>56</v>
      </c>
      <c r="AV88" s="2438">
        <v>56</v>
      </c>
      <c r="AW88" s="4222" t="s">
        <v>1277</v>
      </c>
      <c r="AX88" s="544">
        <v>7265325592.04</v>
      </c>
      <c r="AY88" s="544">
        <v>7263125592.04</v>
      </c>
      <c r="AZ88" s="2131">
        <f>+AX88/T88</f>
        <v>0.94221711118684126</v>
      </c>
      <c r="BA88" s="607" t="s">
        <v>1270</v>
      </c>
      <c r="BB88" s="3891" t="s">
        <v>1421</v>
      </c>
      <c r="BC88" s="2294">
        <v>42583</v>
      </c>
      <c r="BD88" s="2297">
        <v>42583</v>
      </c>
      <c r="BE88" s="2294">
        <v>42735</v>
      </c>
      <c r="BF88" s="2294">
        <v>42735</v>
      </c>
      <c r="BG88" s="2137" t="s">
        <v>1228</v>
      </c>
    </row>
    <row r="89" spans="1:59" ht="139.5" customHeight="1" x14ac:dyDescent="0.2">
      <c r="A89" s="3416"/>
      <c r="B89" s="3417"/>
      <c r="C89" s="3415"/>
      <c r="D89" s="3417"/>
      <c r="E89" s="3418"/>
      <c r="F89" s="3420"/>
      <c r="G89" s="2137">
        <v>111</v>
      </c>
      <c r="H89" s="2129" t="s">
        <v>1416</v>
      </c>
      <c r="I89" s="2137" t="s">
        <v>59</v>
      </c>
      <c r="J89" s="609">
        <v>1</v>
      </c>
      <c r="K89" s="610">
        <v>1</v>
      </c>
      <c r="L89" s="2137" t="s">
        <v>1422</v>
      </c>
      <c r="M89" s="2137">
        <v>99</v>
      </c>
      <c r="N89" s="2129" t="s">
        <v>1281</v>
      </c>
      <c r="O89" s="2299">
        <v>1</v>
      </c>
      <c r="P89" s="611">
        <v>6500674020.1099997</v>
      </c>
      <c r="Q89" s="2129" t="s">
        <v>1419</v>
      </c>
      <c r="R89" s="2129" t="s">
        <v>1423</v>
      </c>
      <c r="S89" s="2129" t="s">
        <v>1416</v>
      </c>
      <c r="T89" s="2453">
        <v>6500674020.1099997</v>
      </c>
      <c r="U89" s="2432">
        <v>6500674020.1099997</v>
      </c>
      <c r="V89" s="2432">
        <v>6500674020.1099997</v>
      </c>
      <c r="W89" s="2443">
        <v>25</v>
      </c>
      <c r="X89" s="2444" t="s">
        <v>1270</v>
      </c>
      <c r="Y89" s="2290">
        <v>2732</v>
      </c>
      <c r="Z89" s="2438">
        <v>2732</v>
      </c>
      <c r="AA89" s="2290">
        <v>17360</v>
      </c>
      <c r="AB89" s="2438">
        <v>17360</v>
      </c>
      <c r="AC89" s="2290">
        <v>21116</v>
      </c>
      <c r="AD89" s="2438">
        <v>21116</v>
      </c>
      <c r="AE89" s="2290"/>
      <c r="AF89" s="2438"/>
      <c r="AG89" s="2290">
        <v>4451</v>
      </c>
      <c r="AH89" s="2438">
        <v>4451</v>
      </c>
      <c r="AI89" s="2290"/>
      <c r="AJ89" s="2438"/>
      <c r="AK89" s="2290">
        <v>247</v>
      </c>
      <c r="AL89" s="2438">
        <v>247</v>
      </c>
      <c r="AM89" s="2290">
        <v>217</v>
      </c>
      <c r="AN89" s="2438">
        <v>217</v>
      </c>
      <c r="AO89" s="2290">
        <v>60</v>
      </c>
      <c r="AP89" s="2438">
        <v>60</v>
      </c>
      <c r="AQ89" s="2290">
        <v>2484</v>
      </c>
      <c r="AR89" s="2438">
        <v>2484</v>
      </c>
      <c r="AS89" s="2290">
        <v>4575</v>
      </c>
      <c r="AT89" s="2438">
        <v>4575</v>
      </c>
      <c r="AU89" s="2290">
        <v>56</v>
      </c>
      <c r="AV89" s="2438">
        <v>56</v>
      </c>
      <c r="AW89" s="4223"/>
      <c r="AX89" s="544">
        <v>6500674020.1099997</v>
      </c>
      <c r="AY89" s="544">
        <v>6500674020.1099997</v>
      </c>
      <c r="AZ89" s="2131">
        <f>+AY89/AX89</f>
        <v>1</v>
      </c>
      <c r="BA89" s="568" t="s">
        <v>1270</v>
      </c>
      <c r="BB89" s="4224"/>
      <c r="BC89" s="2294">
        <v>42371</v>
      </c>
      <c r="BD89" s="2297">
        <v>42582</v>
      </c>
      <c r="BE89" s="2294">
        <v>42521</v>
      </c>
      <c r="BF89" s="2297">
        <v>42582</v>
      </c>
      <c r="BG89" s="2137" t="s">
        <v>1228</v>
      </c>
    </row>
    <row r="90" spans="1:59" ht="15" x14ac:dyDescent="0.2">
      <c r="A90" s="3416"/>
      <c r="B90" s="3417"/>
      <c r="C90" s="3415"/>
      <c r="D90" s="3417"/>
      <c r="E90" s="524">
        <v>28</v>
      </c>
      <c r="F90" s="2193" t="s">
        <v>1424</v>
      </c>
      <c r="G90" s="2194"/>
      <c r="H90" s="412"/>
      <c r="I90" s="2194"/>
      <c r="J90" s="2194"/>
      <c r="K90" s="538"/>
      <c r="L90" s="2194"/>
      <c r="M90" s="2194"/>
      <c r="N90" s="2194"/>
      <c r="O90" s="2194"/>
      <c r="P90" s="2194"/>
      <c r="Q90" s="2194"/>
      <c r="R90" s="412"/>
      <c r="S90" s="412"/>
      <c r="T90" s="1741"/>
      <c r="U90" s="1742"/>
      <c r="V90" s="1742"/>
      <c r="W90" s="2520"/>
      <c r="X90" s="412"/>
      <c r="Y90" s="539"/>
      <c r="Z90" s="540"/>
      <c r="AA90" s="539"/>
      <c r="AB90" s="540"/>
      <c r="AC90" s="539"/>
      <c r="AD90" s="540"/>
      <c r="AE90" s="539"/>
      <c r="AF90" s="540"/>
      <c r="AG90" s="539"/>
      <c r="AH90" s="540"/>
      <c r="AI90" s="539"/>
      <c r="AJ90" s="540"/>
      <c r="AK90" s="539"/>
      <c r="AL90" s="540"/>
      <c r="AM90" s="539"/>
      <c r="AN90" s="540"/>
      <c r="AO90" s="539"/>
      <c r="AP90" s="540"/>
      <c r="AQ90" s="539"/>
      <c r="AR90" s="540"/>
      <c r="AS90" s="539"/>
      <c r="AT90" s="540"/>
      <c r="AU90" s="539"/>
      <c r="AV90" s="540"/>
      <c r="AW90" s="2194"/>
      <c r="AX90" s="541"/>
      <c r="AY90" s="2194"/>
      <c r="AZ90" s="2194"/>
      <c r="BA90" s="2194"/>
      <c r="BB90" s="2194"/>
      <c r="BC90" s="2194"/>
      <c r="BD90" s="538"/>
      <c r="BE90" s="2194"/>
      <c r="BF90" s="538"/>
      <c r="BG90" s="542"/>
    </row>
    <row r="91" spans="1:59" ht="72" customHeight="1" x14ac:dyDescent="0.2">
      <c r="A91" s="3416"/>
      <c r="B91" s="3417"/>
      <c r="C91" s="3415"/>
      <c r="D91" s="3417"/>
      <c r="E91" s="3412"/>
      <c r="F91" s="3414"/>
      <c r="G91" s="2137">
        <v>112</v>
      </c>
      <c r="H91" s="2129" t="s">
        <v>1425</v>
      </c>
      <c r="I91" s="2137" t="s">
        <v>59</v>
      </c>
      <c r="J91" s="2290">
        <v>8</v>
      </c>
      <c r="K91" s="2438">
        <v>14</v>
      </c>
      <c r="L91" s="612" t="s">
        <v>1426</v>
      </c>
      <c r="M91" s="2600">
        <v>100</v>
      </c>
      <c r="N91" s="2604" t="s">
        <v>1427</v>
      </c>
      <c r="O91" s="2299">
        <v>0.37</v>
      </c>
      <c r="P91" s="4156">
        <f>81142637</f>
        <v>81142637</v>
      </c>
      <c r="Q91" s="2605" t="s">
        <v>1428</v>
      </c>
      <c r="R91" s="2604" t="s">
        <v>1429</v>
      </c>
      <c r="S91" s="2129" t="s">
        <v>1425</v>
      </c>
      <c r="T91" s="2453">
        <v>0</v>
      </c>
      <c r="U91" s="2432">
        <v>0</v>
      </c>
      <c r="V91" s="2432">
        <v>0</v>
      </c>
      <c r="W91" s="2446">
        <v>20</v>
      </c>
      <c r="X91" s="2130" t="s">
        <v>130</v>
      </c>
      <c r="Y91" s="2602">
        <v>2732</v>
      </c>
      <c r="Z91" s="4160">
        <v>2732</v>
      </c>
      <c r="AA91" s="2602">
        <v>17360</v>
      </c>
      <c r="AB91" s="4160">
        <v>17360</v>
      </c>
      <c r="AC91" s="2602">
        <v>21116</v>
      </c>
      <c r="AD91" s="4160">
        <v>21116</v>
      </c>
      <c r="AE91" s="2602"/>
      <c r="AF91" s="4160"/>
      <c r="AG91" s="2602">
        <v>4451</v>
      </c>
      <c r="AH91" s="4160">
        <v>4451</v>
      </c>
      <c r="AI91" s="2602"/>
      <c r="AJ91" s="4160"/>
      <c r="AK91" s="2602">
        <v>247</v>
      </c>
      <c r="AL91" s="4160">
        <v>247</v>
      </c>
      <c r="AM91" s="2602">
        <v>217</v>
      </c>
      <c r="AN91" s="4160">
        <v>217</v>
      </c>
      <c r="AO91" s="2602">
        <v>60</v>
      </c>
      <c r="AP91" s="4160">
        <v>60</v>
      </c>
      <c r="AQ91" s="2602">
        <v>2484</v>
      </c>
      <c r="AR91" s="4160">
        <v>2484</v>
      </c>
      <c r="AS91" s="2602">
        <v>4575</v>
      </c>
      <c r="AT91" s="4160">
        <v>4575</v>
      </c>
      <c r="AU91" s="2602">
        <v>56</v>
      </c>
      <c r="AV91" s="4160">
        <v>56</v>
      </c>
      <c r="AW91" s="2097">
        <v>1</v>
      </c>
      <c r="AX91" s="2109">
        <v>9900000</v>
      </c>
      <c r="AY91" s="2109">
        <v>9900000</v>
      </c>
      <c r="AZ91" s="2132">
        <f>+AY91/AX91</f>
        <v>1</v>
      </c>
      <c r="BA91" s="2137" t="s">
        <v>714</v>
      </c>
      <c r="BB91" s="2137" t="s">
        <v>1430</v>
      </c>
      <c r="BC91" s="2294">
        <v>42644</v>
      </c>
      <c r="BD91" s="2297">
        <v>42644</v>
      </c>
      <c r="BE91" s="2593">
        <v>42735</v>
      </c>
      <c r="BF91" s="2593">
        <v>42735</v>
      </c>
      <c r="BG91" s="2600" t="s">
        <v>1228</v>
      </c>
    </row>
    <row r="92" spans="1:59" ht="93.75" customHeight="1" x14ac:dyDescent="0.2">
      <c r="A92" s="3416"/>
      <c r="B92" s="3417"/>
      <c r="C92" s="3418"/>
      <c r="D92" s="3420"/>
      <c r="E92" s="3418"/>
      <c r="F92" s="3420"/>
      <c r="G92" s="2137">
        <v>113</v>
      </c>
      <c r="H92" s="2129" t="s">
        <v>1431</v>
      </c>
      <c r="I92" s="2137" t="s">
        <v>59</v>
      </c>
      <c r="J92" s="2290">
        <v>1</v>
      </c>
      <c r="K92" s="2438">
        <v>1</v>
      </c>
      <c r="L92" s="613" t="s">
        <v>1432</v>
      </c>
      <c r="M92" s="2636"/>
      <c r="N92" s="2604"/>
      <c r="O92" s="2299">
        <v>0.63</v>
      </c>
      <c r="P92" s="4157"/>
      <c r="Q92" s="4158"/>
      <c r="R92" s="4159"/>
      <c r="S92" s="2129" t="s">
        <v>1431</v>
      </c>
      <c r="T92" s="2453">
        <v>81142637</v>
      </c>
      <c r="U92" s="2432">
        <v>9900000</v>
      </c>
      <c r="V92" s="2432">
        <v>9900000</v>
      </c>
      <c r="W92" s="2447">
        <v>25</v>
      </c>
      <c r="X92" s="2445" t="s">
        <v>130</v>
      </c>
      <c r="Y92" s="3435"/>
      <c r="Z92" s="4162"/>
      <c r="AA92" s="3435"/>
      <c r="AB92" s="4162"/>
      <c r="AC92" s="3435"/>
      <c r="AD92" s="4162"/>
      <c r="AE92" s="3435"/>
      <c r="AF92" s="4162"/>
      <c r="AG92" s="3435"/>
      <c r="AH92" s="4162"/>
      <c r="AI92" s="3435"/>
      <c r="AJ92" s="4162"/>
      <c r="AK92" s="3435"/>
      <c r="AL92" s="4162"/>
      <c r="AM92" s="3435"/>
      <c r="AN92" s="4162"/>
      <c r="AO92" s="3435"/>
      <c r="AP92" s="4162"/>
      <c r="AQ92" s="3435"/>
      <c r="AR92" s="4162"/>
      <c r="AS92" s="3435"/>
      <c r="AT92" s="4162"/>
      <c r="AU92" s="3435"/>
      <c r="AV92" s="4162"/>
      <c r="AW92" s="2099"/>
      <c r="AX92" s="2442"/>
      <c r="AY92" s="2099"/>
      <c r="AZ92" s="2099"/>
      <c r="BA92" s="2137"/>
      <c r="BB92" s="2137"/>
      <c r="BC92" s="1564"/>
      <c r="BD92" s="2297"/>
      <c r="BE92" s="3400"/>
      <c r="BF92" s="3400"/>
      <c r="BG92" s="4163"/>
    </row>
    <row r="93" spans="1:59" x14ac:dyDescent="0.2">
      <c r="A93" s="3416"/>
      <c r="B93" s="3417"/>
      <c r="C93" s="614">
        <v>16</v>
      </c>
      <c r="D93" s="615" t="s">
        <v>1433</v>
      </c>
      <c r="E93" s="616"/>
      <c r="F93" s="616"/>
      <c r="G93" s="616"/>
      <c r="H93" s="1573"/>
      <c r="I93" s="616"/>
      <c r="J93" s="616"/>
      <c r="K93" s="617"/>
      <c r="L93" s="616"/>
      <c r="M93" s="616"/>
      <c r="N93" s="616"/>
      <c r="O93" s="616"/>
      <c r="P93" s="616"/>
      <c r="Q93" s="616"/>
      <c r="R93" s="1573"/>
      <c r="S93" s="1573"/>
      <c r="T93" s="1756"/>
      <c r="U93" s="1757"/>
      <c r="V93" s="1757"/>
      <c r="W93" s="1578"/>
      <c r="X93" s="1573"/>
      <c r="Y93" s="618"/>
      <c r="Z93" s="619"/>
      <c r="AA93" s="618"/>
      <c r="AB93" s="619"/>
      <c r="AC93" s="618"/>
      <c r="AD93" s="619"/>
      <c r="AE93" s="618"/>
      <c r="AF93" s="619"/>
      <c r="AG93" s="618"/>
      <c r="AH93" s="619"/>
      <c r="AI93" s="618"/>
      <c r="AJ93" s="619"/>
      <c r="AK93" s="618"/>
      <c r="AL93" s="619"/>
      <c r="AM93" s="618"/>
      <c r="AN93" s="619"/>
      <c r="AO93" s="618"/>
      <c r="AP93" s="619"/>
      <c r="AQ93" s="618"/>
      <c r="AR93" s="619"/>
      <c r="AS93" s="618"/>
      <c r="AT93" s="619"/>
      <c r="AU93" s="618"/>
      <c r="AV93" s="619"/>
      <c r="AW93" s="616"/>
      <c r="AX93" s="620"/>
      <c r="AY93" s="616"/>
      <c r="AZ93" s="616"/>
      <c r="BA93" s="616"/>
      <c r="BB93" s="616"/>
      <c r="BC93" s="616"/>
      <c r="BD93" s="617"/>
      <c r="BE93" s="616"/>
      <c r="BF93" s="617"/>
      <c r="BG93" s="59"/>
    </row>
    <row r="94" spans="1:59" ht="15" x14ac:dyDescent="0.2">
      <c r="A94" s="3416"/>
      <c r="B94" s="3417"/>
      <c r="C94" s="3412"/>
      <c r="D94" s="3414"/>
      <c r="E94" s="524">
        <v>57</v>
      </c>
      <c r="F94" s="525" t="s">
        <v>1434</v>
      </c>
      <c r="G94" s="50"/>
      <c r="H94" s="412"/>
      <c r="I94" s="50"/>
      <c r="J94" s="50"/>
      <c r="K94" s="411"/>
      <c r="L94" s="50"/>
      <c r="M94" s="50"/>
      <c r="N94" s="50"/>
      <c r="O94" s="50"/>
      <c r="P94" s="50"/>
      <c r="Q94" s="50"/>
      <c r="R94" s="412"/>
      <c r="S94" s="412"/>
      <c r="T94" s="1493"/>
      <c r="U94" s="1740"/>
      <c r="V94" s="1740"/>
      <c r="W94" s="2520"/>
      <c r="X94" s="412"/>
      <c r="Y94" s="532"/>
      <c r="Z94" s="533"/>
      <c r="AA94" s="532"/>
      <c r="AB94" s="533"/>
      <c r="AC94" s="532"/>
      <c r="AD94" s="533"/>
      <c r="AE94" s="532"/>
      <c r="AF94" s="533"/>
      <c r="AG94" s="532"/>
      <c r="AH94" s="533"/>
      <c r="AI94" s="532"/>
      <c r="AJ94" s="533"/>
      <c r="AK94" s="532"/>
      <c r="AL94" s="533"/>
      <c r="AM94" s="532"/>
      <c r="AN94" s="533"/>
      <c r="AO94" s="532"/>
      <c r="AP94" s="533"/>
      <c r="AQ94" s="532"/>
      <c r="AR94" s="533"/>
      <c r="AS94" s="532"/>
      <c r="AT94" s="533"/>
      <c r="AU94" s="532"/>
      <c r="AV94" s="533"/>
      <c r="AW94" s="50"/>
      <c r="AX94" s="526"/>
      <c r="AY94" s="50"/>
      <c r="AZ94" s="50"/>
      <c r="BA94" s="50"/>
      <c r="BB94" s="50"/>
      <c r="BC94" s="50"/>
      <c r="BD94" s="411"/>
      <c r="BE94" s="50"/>
      <c r="BF94" s="411"/>
      <c r="BG94" s="527"/>
    </row>
    <row r="95" spans="1:59" ht="72" customHeight="1" thickBot="1" x14ac:dyDescent="0.25">
      <c r="A95" s="3416"/>
      <c r="B95" s="3417"/>
      <c r="C95" s="3415"/>
      <c r="D95" s="3417"/>
      <c r="E95" s="3412"/>
      <c r="F95" s="3414"/>
      <c r="G95" s="2097">
        <v>182</v>
      </c>
      <c r="H95" s="2130" t="s">
        <v>1435</v>
      </c>
      <c r="I95" s="2097" t="s">
        <v>59</v>
      </c>
      <c r="J95" s="2138">
        <v>1</v>
      </c>
      <c r="K95" s="2433">
        <v>0</v>
      </c>
      <c r="L95" s="2097" t="s">
        <v>1436</v>
      </c>
      <c r="M95" s="2097">
        <v>101</v>
      </c>
      <c r="N95" s="2130" t="s">
        <v>1437</v>
      </c>
      <c r="O95" s="2435">
        <v>1</v>
      </c>
      <c r="P95" s="2436">
        <v>40000000</v>
      </c>
      <c r="Q95" s="2130" t="s">
        <v>1438</v>
      </c>
      <c r="R95" s="2130" t="s">
        <v>1439</v>
      </c>
      <c r="S95" s="2130" t="s">
        <v>1435</v>
      </c>
      <c r="T95" s="2431">
        <v>40000000</v>
      </c>
      <c r="U95" s="2432">
        <v>0</v>
      </c>
      <c r="V95" s="2432">
        <v>0</v>
      </c>
      <c r="W95" s="2446">
        <v>20</v>
      </c>
      <c r="X95" s="2130" t="s">
        <v>130</v>
      </c>
      <c r="Y95" s="2138">
        <v>2732</v>
      </c>
      <c r="Z95" s="2433">
        <v>2732</v>
      </c>
      <c r="AA95" s="2138">
        <v>17360</v>
      </c>
      <c r="AB95" s="2433">
        <v>17360</v>
      </c>
      <c r="AC95" s="2138">
        <v>21116</v>
      </c>
      <c r="AD95" s="2433">
        <v>21116</v>
      </c>
      <c r="AE95" s="2138"/>
      <c r="AF95" s="2433"/>
      <c r="AG95" s="2138">
        <v>4451</v>
      </c>
      <c r="AH95" s="2433">
        <v>4451</v>
      </c>
      <c r="AI95" s="2138"/>
      <c r="AJ95" s="2433"/>
      <c r="AK95" s="2138">
        <v>247</v>
      </c>
      <c r="AL95" s="2433">
        <v>247</v>
      </c>
      <c r="AM95" s="2138">
        <v>217</v>
      </c>
      <c r="AN95" s="2433">
        <v>217</v>
      </c>
      <c r="AO95" s="2138">
        <v>60</v>
      </c>
      <c r="AP95" s="2433">
        <v>60</v>
      </c>
      <c r="AQ95" s="2138">
        <v>2484</v>
      </c>
      <c r="AR95" s="2433">
        <v>2484</v>
      </c>
      <c r="AS95" s="2138">
        <v>4575</v>
      </c>
      <c r="AT95" s="2433">
        <v>4575</v>
      </c>
      <c r="AU95" s="2138">
        <v>56</v>
      </c>
      <c r="AV95" s="2433">
        <v>56</v>
      </c>
      <c r="AW95" s="2097"/>
      <c r="AX95" s="2441">
        <v>0</v>
      </c>
      <c r="AY95" s="2097">
        <v>0</v>
      </c>
      <c r="AZ95" s="2097"/>
      <c r="BA95" s="2097"/>
      <c r="BB95" s="2097"/>
      <c r="BC95" s="2140"/>
      <c r="BD95" s="2111"/>
      <c r="BE95" s="2140"/>
      <c r="BF95" s="2140"/>
      <c r="BG95" s="2097" t="s">
        <v>1228</v>
      </c>
    </row>
    <row r="96" spans="1:59" ht="30.75" customHeight="1" thickBot="1" x14ac:dyDescent="0.25">
      <c r="A96" s="2960" t="s">
        <v>119</v>
      </c>
      <c r="B96" s="2961"/>
      <c r="C96" s="2961"/>
      <c r="D96" s="2961"/>
      <c r="E96" s="2961"/>
      <c r="F96" s="2961"/>
      <c r="G96" s="2961"/>
      <c r="H96" s="2961"/>
      <c r="I96" s="2961"/>
      <c r="J96" s="2961"/>
      <c r="K96" s="2961"/>
      <c r="L96" s="2961"/>
      <c r="M96" s="2961"/>
      <c r="N96" s="2961"/>
      <c r="O96" s="2962"/>
      <c r="P96" s="621">
        <f>SUM(P8:P95)</f>
        <v>129442224490.84</v>
      </c>
      <c r="Q96" s="622"/>
      <c r="R96" s="1579"/>
      <c r="S96" s="1581"/>
      <c r="T96" s="1758">
        <f>SUM(T8:T95)</f>
        <v>129524353288.84</v>
      </c>
      <c r="U96" s="1759">
        <f>SUM(U8:U95)</f>
        <v>123896893052</v>
      </c>
      <c r="V96" s="1759">
        <f>SUM(V8:V95)</f>
        <v>123301130311.28</v>
      </c>
      <c r="W96" s="1728"/>
      <c r="X96" s="1731"/>
      <c r="Y96" s="78"/>
      <c r="Z96" s="624"/>
      <c r="AA96" s="78"/>
      <c r="AB96" s="624"/>
      <c r="AC96" s="78"/>
      <c r="AD96" s="624"/>
      <c r="AE96" s="78"/>
      <c r="AF96" s="624"/>
      <c r="AG96" s="78"/>
      <c r="AH96" s="624"/>
      <c r="AI96" s="78"/>
      <c r="AJ96" s="624"/>
      <c r="AK96" s="78"/>
      <c r="AL96" s="624"/>
      <c r="AM96" s="78"/>
      <c r="AN96" s="624"/>
      <c r="AO96" s="78"/>
      <c r="AP96" s="624"/>
      <c r="AQ96" s="78"/>
      <c r="AR96" s="624"/>
      <c r="AS96" s="78"/>
      <c r="AT96" s="624"/>
      <c r="AU96" s="78"/>
      <c r="AV96" s="624"/>
      <c r="AW96" s="78"/>
      <c r="AX96" s="621">
        <f>SUM(AX14:AX95)</f>
        <v>123896893050</v>
      </c>
      <c r="AY96" s="621">
        <f>SUM(AY14:AY95)</f>
        <v>123301130311</v>
      </c>
      <c r="AZ96" s="78"/>
      <c r="BA96" s="78"/>
      <c r="BB96" s="78"/>
      <c r="BC96" s="78"/>
      <c r="BD96" s="624"/>
      <c r="BE96" s="78"/>
      <c r="BF96" s="624"/>
      <c r="BG96" s="623"/>
    </row>
    <row r="97" spans="14:51" ht="18.75" customHeight="1" x14ac:dyDescent="0.2">
      <c r="AX97" s="626"/>
      <c r="AY97" s="626"/>
    </row>
    <row r="98" spans="14:51" ht="30" customHeight="1" x14ac:dyDescent="0.2">
      <c r="S98" s="1574"/>
      <c r="T98" s="1762"/>
      <c r="U98" s="1763"/>
      <c r="V98" s="1763"/>
      <c r="W98" s="1730"/>
      <c r="AX98" s="627"/>
      <c r="AY98" s="627"/>
    </row>
    <row r="99" spans="14:51" x14ac:dyDescent="0.2">
      <c r="S99" s="1582"/>
      <c r="T99" s="1764"/>
      <c r="U99" s="1765"/>
      <c r="V99" s="1765"/>
      <c r="W99" s="1730"/>
      <c r="AX99" s="628"/>
      <c r="AY99" s="20"/>
    </row>
    <row r="100" spans="14:51" ht="34.5" customHeight="1" x14ac:dyDescent="0.2">
      <c r="Q100" s="625"/>
      <c r="S100" s="1582"/>
      <c r="T100" s="2080"/>
      <c r="U100" s="1763"/>
      <c r="V100" s="2058"/>
      <c r="W100" s="1730"/>
      <c r="AX100" s="628"/>
      <c r="AY100" s="20"/>
    </row>
    <row r="101" spans="14:51" x14ac:dyDescent="0.2">
      <c r="S101" s="1582"/>
      <c r="T101" s="1764"/>
      <c r="U101" s="1765"/>
      <c r="V101" s="1765"/>
      <c r="W101" s="1730"/>
    </row>
    <row r="102" spans="14:51" ht="30" x14ac:dyDescent="0.25">
      <c r="N102" s="630" t="s">
        <v>1421</v>
      </c>
      <c r="O102" s="631"/>
      <c r="S102" s="1582"/>
      <c r="T102" s="1765"/>
      <c r="U102" s="1765"/>
      <c r="V102" s="1765"/>
      <c r="W102" s="1730"/>
    </row>
    <row r="103" spans="14:51" x14ac:dyDescent="0.2">
      <c r="N103" s="632" t="s">
        <v>1440</v>
      </c>
    </row>
  </sheetData>
  <mergeCells count="589">
    <mergeCell ref="A5:M6"/>
    <mergeCell ref="Q5:BG5"/>
    <mergeCell ref="Q6:AA6"/>
    <mergeCell ref="AB6:AY6"/>
    <mergeCell ref="BF6:BG6"/>
    <mergeCell ref="Y7:AJ7"/>
    <mergeCell ref="AK7:AV7"/>
    <mergeCell ref="D65:H65"/>
    <mergeCell ref="AW88:AW89"/>
    <mergeCell ref="BB83:BB86"/>
    <mergeCell ref="BB88:BB89"/>
    <mergeCell ref="G7:G9"/>
    <mergeCell ref="H7:H9"/>
    <mergeCell ref="I7:I9"/>
    <mergeCell ref="J7:K8"/>
    <mergeCell ref="L7:L9"/>
    <mergeCell ref="M7:M9"/>
    <mergeCell ref="T14:T17"/>
    <mergeCell ref="U14:U17"/>
    <mergeCell ref="V14:V17"/>
    <mergeCell ref="Y14:Y19"/>
    <mergeCell ref="Z14:Z19"/>
    <mergeCell ref="AA14:AA19"/>
    <mergeCell ref="N14:N19"/>
    <mergeCell ref="O14:O17"/>
    <mergeCell ref="P14:P19"/>
    <mergeCell ref="Q14:Q19"/>
    <mergeCell ref="R14:R17"/>
    <mergeCell ref="S14:S17"/>
    <mergeCell ref="N20:N21"/>
    <mergeCell ref="P20:P21"/>
    <mergeCell ref="Q20:Q21"/>
    <mergeCell ref="A1:BC4"/>
    <mergeCell ref="A7:A9"/>
    <mergeCell ref="B7:B9"/>
    <mergeCell ref="C7:C9"/>
    <mergeCell ref="D7:D9"/>
    <mergeCell ref="E7:E10"/>
    <mergeCell ref="F7:F9"/>
    <mergeCell ref="BC7:BD8"/>
    <mergeCell ref="A12:B95"/>
    <mergeCell ref="C13:D35"/>
    <mergeCell ref="E38:F45"/>
    <mergeCell ref="M38:M45"/>
    <mergeCell ref="E88:F89"/>
    <mergeCell ref="E91:F92"/>
    <mergeCell ref="M91:M92"/>
    <mergeCell ref="C79:D92"/>
    <mergeCell ref="T7:V8"/>
    <mergeCell ref="W7:W9"/>
    <mergeCell ref="X7:X9"/>
    <mergeCell ref="N7:N9"/>
    <mergeCell ref="O7:O9"/>
    <mergeCell ref="P7:P9"/>
    <mergeCell ref="Q7:Q10"/>
    <mergeCell ref="R7:R9"/>
    <mergeCell ref="S7:S9"/>
    <mergeCell ref="BG7:BG9"/>
    <mergeCell ref="Y8:Z8"/>
    <mergeCell ref="AA8:AB8"/>
    <mergeCell ref="AC8:AD8"/>
    <mergeCell ref="AE8:AF8"/>
    <mergeCell ref="AG8:AH8"/>
    <mergeCell ref="AI8:AJ8"/>
    <mergeCell ref="AK8:AL8"/>
    <mergeCell ref="AW7:BB7"/>
    <mergeCell ref="AM8:AN8"/>
    <mergeCell ref="AO8:AP8"/>
    <mergeCell ref="AQ8:AR8"/>
    <mergeCell ref="AS8:AT8"/>
    <mergeCell ref="BB8:BB9"/>
    <mergeCell ref="AU8:AV8"/>
    <mergeCell ref="AW8:AW9"/>
    <mergeCell ref="AX8:AX9"/>
    <mergeCell ref="AY8:AY9"/>
    <mergeCell ref="AZ8:AZ9"/>
    <mergeCell ref="BA8:BA9"/>
    <mergeCell ref="BE7:BF8"/>
    <mergeCell ref="E80:F81"/>
    <mergeCell ref="L80:L81"/>
    <mergeCell ref="M80:M81"/>
    <mergeCell ref="M20:M21"/>
    <mergeCell ref="E83:F86"/>
    <mergeCell ref="G83:G85"/>
    <mergeCell ref="H83:H85"/>
    <mergeCell ref="I83:I85"/>
    <mergeCell ref="J83:J85"/>
    <mergeCell ref="K83:K85"/>
    <mergeCell ref="M83:M85"/>
    <mergeCell ref="E14:F21"/>
    <mergeCell ref="G14:G17"/>
    <mergeCell ref="H14:H17"/>
    <mergeCell ref="I14:I17"/>
    <mergeCell ref="J14:J17"/>
    <mergeCell ref="K14:K17"/>
    <mergeCell ref="M14:M19"/>
    <mergeCell ref="L25:L26"/>
    <mergeCell ref="E23:F28"/>
    <mergeCell ref="L23:L24"/>
    <mergeCell ref="M23:M28"/>
    <mergeCell ref="BE20:BE21"/>
    <mergeCell ref="BF20:BF21"/>
    <mergeCell ref="BG20:BG21"/>
    <mergeCell ref="BD20:BD21"/>
    <mergeCell ref="C37:D64"/>
    <mergeCell ref="Y20:Y21"/>
    <mergeCell ref="Z20:Z21"/>
    <mergeCell ref="AZ14:AZ19"/>
    <mergeCell ref="BA14:BA19"/>
    <mergeCell ref="BB14:BB19"/>
    <mergeCell ref="AT14:AT19"/>
    <mergeCell ref="AU14:AU19"/>
    <mergeCell ref="AV14:AV19"/>
    <mergeCell ref="AW14:AW19"/>
    <mergeCell ref="AX14:AX19"/>
    <mergeCell ref="AY14:AY19"/>
    <mergeCell ref="AN14:AN19"/>
    <mergeCell ref="AO14:AO19"/>
    <mergeCell ref="AP14:AP19"/>
    <mergeCell ref="AQ14:AQ19"/>
    <mergeCell ref="AR14:AR19"/>
    <mergeCell ref="AS14:AS19"/>
    <mergeCell ref="AH14:AH19"/>
    <mergeCell ref="AI14:AI19"/>
    <mergeCell ref="BF14:BF19"/>
    <mergeCell ref="BG14:BG19"/>
    <mergeCell ref="W16:W17"/>
    <mergeCell ref="X16:X17"/>
    <mergeCell ref="BC14:BC19"/>
    <mergeCell ref="BD14:BD19"/>
    <mergeCell ref="BE14:BE19"/>
    <mergeCell ref="AK14:AK19"/>
    <mergeCell ref="AL14:AL19"/>
    <mergeCell ref="AM14:AM19"/>
    <mergeCell ref="AB14:AB19"/>
    <mergeCell ref="AC14:AC19"/>
    <mergeCell ref="AD14:AD19"/>
    <mergeCell ref="AE14:AE19"/>
    <mergeCell ref="AF14:AF19"/>
    <mergeCell ref="AG14:AG19"/>
    <mergeCell ref="AJ14:AJ19"/>
    <mergeCell ref="X23:X27"/>
    <mergeCell ref="BB20:BB21"/>
    <mergeCell ref="BC20:BC21"/>
    <mergeCell ref="AS20:AS21"/>
    <mergeCell ref="AT20:AT21"/>
    <mergeCell ref="AU20:AU21"/>
    <mergeCell ref="AV20:AV21"/>
    <mergeCell ref="AE20:AE21"/>
    <mergeCell ref="AF20:AF21"/>
    <mergeCell ref="AO20:AO21"/>
    <mergeCell ref="AP20:AP21"/>
    <mergeCell ref="AW20:AW21"/>
    <mergeCell ref="AX20:AX21"/>
    <mergeCell ref="AM20:AM21"/>
    <mergeCell ref="AN20:AN21"/>
    <mergeCell ref="AG20:AG21"/>
    <mergeCell ref="AH20:AH21"/>
    <mergeCell ref="AY20:AY21"/>
    <mergeCell ref="AZ20:AZ21"/>
    <mergeCell ref="BA20:BA21"/>
    <mergeCell ref="AD23:AD28"/>
    <mergeCell ref="AE23:AE28"/>
    <mergeCell ref="AF23:AF28"/>
    <mergeCell ref="AD20:AD21"/>
    <mergeCell ref="AA20:AA21"/>
    <mergeCell ref="AB20:AB21"/>
    <mergeCell ref="AC20:AC21"/>
    <mergeCell ref="AS23:AS28"/>
    <mergeCell ref="AT23:AT28"/>
    <mergeCell ref="AU23:AU28"/>
    <mergeCell ref="AI20:AI21"/>
    <mergeCell ref="AJ20:AJ21"/>
    <mergeCell ref="AK20:AK21"/>
    <mergeCell ref="AL20:AL21"/>
    <mergeCell ref="AQ20:AQ21"/>
    <mergeCell ref="AR20:AR21"/>
    <mergeCell ref="Y23:Y28"/>
    <mergeCell ref="Z23:Z28"/>
    <mergeCell ref="AA23:AA28"/>
    <mergeCell ref="AB23:AB28"/>
    <mergeCell ref="AC23:AC28"/>
    <mergeCell ref="AP23:AP28"/>
    <mergeCell ref="AQ23:AQ28"/>
    <mergeCell ref="AR23:AR28"/>
    <mergeCell ref="AJ23:AJ28"/>
    <mergeCell ref="AK23:AK28"/>
    <mergeCell ref="AL23:AL28"/>
    <mergeCell ref="AM23:AM28"/>
    <mergeCell ref="AN23:AN28"/>
    <mergeCell ref="AO23:AO28"/>
    <mergeCell ref="AG23:AG28"/>
    <mergeCell ref="AH23:AH28"/>
    <mergeCell ref="AI23:AI28"/>
    <mergeCell ref="BB23:BB28"/>
    <mergeCell ref="BC23:BC28"/>
    <mergeCell ref="BD23:BD28"/>
    <mergeCell ref="BE23:BE28"/>
    <mergeCell ref="BF23:BF28"/>
    <mergeCell ref="BG23:BG28"/>
    <mergeCell ref="AV23:AV28"/>
    <mergeCell ref="AW23:AW28"/>
    <mergeCell ref="AX23:AX28"/>
    <mergeCell ref="AY23:AY28"/>
    <mergeCell ref="AZ23:AZ28"/>
    <mergeCell ref="BA23:BA28"/>
    <mergeCell ref="W25:W28"/>
    <mergeCell ref="L27:L28"/>
    <mergeCell ref="E30:F35"/>
    <mergeCell ref="G31:G35"/>
    <mergeCell ref="H31:H35"/>
    <mergeCell ref="I31:I35"/>
    <mergeCell ref="J31:J35"/>
    <mergeCell ref="K31:K35"/>
    <mergeCell ref="M31:M35"/>
    <mergeCell ref="T31:T35"/>
    <mergeCell ref="U31:U35"/>
    <mergeCell ref="V31:V35"/>
    <mergeCell ref="W31:W35"/>
    <mergeCell ref="N23:N28"/>
    <mergeCell ref="P23:P28"/>
    <mergeCell ref="Q23:Q28"/>
    <mergeCell ref="W23:W24"/>
    <mergeCell ref="X31:X35"/>
    <mergeCell ref="Y31:Y35"/>
    <mergeCell ref="N31:N35"/>
    <mergeCell ref="O31:O35"/>
    <mergeCell ref="P31:P35"/>
    <mergeCell ref="Q31:Q35"/>
    <mergeCell ref="R31:R35"/>
    <mergeCell ref="S31:S35"/>
    <mergeCell ref="BG31:BG35"/>
    <mergeCell ref="Z31:Z35"/>
    <mergeCell ref="AA31:AA35"/>
    <mergeCell ref="AB31:AB35"/>
    <mergeCell ref="AC31:AC35"/>
    <mergeCell ref="AD31:AD35"/>
    <mergeCell ref="AE31:AE35"/>
    <mergeCell ref="BD31:BD35"/>
    <mergeCell ref="BE31:BE35"/>
    <mergeCell ref="BF31:BF35"/>
    <mergeCell ref="AQ31:AQ35"/>
    <mergeCell ref="AF31:AF35"/>
    <mergeCell ref="AG31:AG35"/>
    <mergeCell ref="AH31:AH35"/>
    <mergeCell ref="AI31:AI35"/>
    <mergeCell ref="AJ31:AJ35"/>
    <mergeCell ref="N38:N45"/>
    <mergeCell ref="P38:P45"/>
    <mergeCell ref="Q38:Q45"/>
    <mergeCell ref="AX31:AX35"/>
    <mergeCell ref="AY31:AY35"/>
    <mergeCell ref="AZ31:AZ35"/>
    <mergeCell ref="BA31:BA35"/>
    <mergeCell ref="BB31:BB35"/>
    <mergeCell ref="BC31:BC35"/>
    <mergeCell ref="AR31:AR35"/>
    <mergeCell ref="AS31:AS35"/>
    <mergeCell ref="AT31:AT35"/>
    <mergeCell ref="AU31:AU35"/>
    <mergeCell ref="AV31:AV35"/>
    <mergeCell ref="AW31:AW35"/>
    <mergeCell ref="AL31:AL35"/>
    <mergeCell ref="AM31:AM35"/>
    <mergeCell ref="AN31:AN35"/>
    <mergeCell ref="AO31:AO35"/>
    <mergeCell ref="AP31:AP35"/>
    <mergeCell ref="Y38:Y45"/>
    <mergeCell ref="Z38:Z45"/>
    <mergeCell ref="AA38:AA45"/>
    <mergeCell ref="AB38:AB45"/>
    <mergeCell ref="AM38:AM45"/>
    <mergeCell ref="AN38:AN45"/>
    <mergeCell ref="AO38:AO45"/>
    <mergeCell ref="AP38:AP45"/>
    <mergeCell ref="AE38:AE45"/>
    <mergeCell ref="AF38:AF45"/>
    <mergeCell ref="AG38:AG45"/>
    <mergeCell ref="AH38:AH45"/>
    <mergeCell ref="AI38:AI45"/>
    <mergeCell ref="AK31:AK35"/>
    <mergeCell ref="BC38:BC45"/>
    <mergeCell ref="BD38:BD45"/>
    <mergeCell ref="BE38:BE45"/>
    <mergeCell ref="BF38:BF45"/>
    <mergeCell ref="BG38:BG45"/>
    <mergeCell ref="E47:F56"/>
    <mergeCell ref="L47:L56"/>
    <mergeCell ref="M47:M56"/>
    <mergeCell ref="N47:N56"/>
    <mergeCell ref="P47:P56"/>
    <mergeCell ref="AW38:AW45"/>
    <mergeCell ref="AX38:AX45"/>
    <mergeCell ref="AY38:AY45"/>
    <mergeCell ref="AZ38:AZ45"/>
    <mergeCell ref="BA38:BA45"/>
    <mergeCell ref="BB38:BB45"/>
    <mergeCell ref="AQ38:AQ45"/>
    <mergeCell ref="AR38:AR45"/>
    <mergeCell ref="AS38:AS45"/>
    <mergeCell ref="AT38:AT45"/>
    <mergeCell ref="AU38:AU45"/>
    <mergeCell ref="AV38:AV45"/>
    <mergeCell ref="AK38:AK45"/>
    <mergeCell ref="AC38:AC45"/>
    <mergeCell ref="AL38:AL45"/>
    <mergeCell ref="AD47:AD56"/>
    <mergeCell ref="AE47:AE56"/>
    <mergeCell ref="AF47:AF56"/>
    <mergeCell ref="AG47:AG56"/>
    <mergeCell ref="AH47:AH56"/>
    <mergeCell ref="AI47:AI56"/>
    <mergeCell ref="Q47:Q56"/>
    <mergeCell ref="Y47:Y56"/>
    <mergeCell ref="Z47:Z56"/>
    <mergeCell ref="AA47:AA56"/>
    <mergeCell ref="AB47:AB56"/>
    <mergeCell ref="AC47:AC56"/>
    <mergeCell ref="AJ38:AJ45"/>
    <mergeCell ref="AD38:AD45"/>
    <mergeCell ref="AP47:AP56"/>
    <mergeCell ref="AQ47:AQ56"/>
    <mergeCell ref="AR47:AR56"/>
    <mergeCell ref="AS47:AS56"/>
    <mergeCell ref="AT47:AT56"/>
    <mergeCell ref="AU47:AU56"/>
    <mergeCell ref="AJ47:AJ56"/>
    <mergeCell ref="AK47:AK56"/>
    <mergeCell ref="AL47:AL56"/>
    <mergeCell ref="AM47:AM56"/>
    <mergeCell ref="AN47:AN56"/>
    <mergeCell ref="AO47:AO56"/>
    <mergeCell ref="BB47:BB56"/>
    <mergeCell ref="BC47:BC56"/>
    <mergeCell ref="BD47:BD56"/>
    <mergeCell ref="BE47:BE56"/>
    <mergeCell ref="BF47:BF56"/>
    <mergeCell ref="BG47:BG56"/>
    <mergeCell ref="AV47:AV56"/>
    <mergeCell ref="AW47:AW56"/>
    <mergeCell ref="AX47:AX56"/>
    <mergeCell ref="AY47:AY56"/>
    <mergeCell ref="AZ47:AZ56"/>
    <mergeCell ref="BA47:BA56"/>
    <mergeCell ref="Z58:Z61"/>
    <mergeCell ref="AA58:AA61"/>
    <mergeCell ref="AB58:AB61"/>
    <mergeCell ref="AC58:AC61"/>
    <mergeCell ref="AD58:AD61"/>
    <mergeCell ref="AE58:AE61"/>
    <mergeCell ref="E58:F62"/>
    <mergeCell ref="M58:M61"/>
    <mergeCell ref="N58:N61"/>
    <mergeCell ref="P58:P61"/>
    <mergeCell ref="Q58:Q61"/>
    <mergeCell ref="Y58:Y61"/>
    <mergeCell ref="AN58:AN61"/>
    <mergeCell ref="AO58:AO61"/>
    <mergeCell ref="AP58:AP61"/>
    <mergeCell ref="AQ58:AQ61"/>
    <mergeCell ref="AF58:AF61"/>
    <mergeCell ref="AG58:AG61"/>
    <mergeCell ref="AH58:AH61"/>
    <mergeCell ref="AI58:AI61"/>
    <mergeCell ref="AJ58:AJ61"/>
    <mergeCell ref="AK58:AK61"/>
    <mergeCell ref="BE58:BE61"/>
    <mergeCell ref="BG58:BG61"/>
    <mergeCell ref="E64:F64"/>
    <mergeCell ref="C66:D77"/>
    <mergeCell ref="E67:F71"/>
    <mergeCell ref="L67:L71"/>
    <mergeCell ref="M67:M71"/>
    <mergeCell ref="N67:N71"/>
    <mergeCell ref="P67:P71"/>
    <mergeCell ref="Q67:Q71"/>
    <mergeCell ref="AX58:AX61"/>
    <mergeCell ref="AY58:AY61"/>
    <mergeCell ref="AZ58:AZ61"/>
    <mergeCell ref="BA58:BA61"/>
    <mergeCell ref="BB58:BB61"/>
    <mergeCell ref="BC58:BC61"/>
    <mergeCell ref="AR58:AR61"/>
    <mergeCell ref="AS58:AS61"/>
    <mergeCell ref="AT58:AT61"/>
    <mergeCell ref="AU58:AU61"/>
    <mergeCell ref="AV58:AV61"/>
    <mergeCell ref="AW58:AW61"/>
    <mergeCell ref="AL58:AL61"/>
    <mergeCell ref="AM58:AM61"/>
    <mergeCell ref="BG67:BG71"/>
    <mergeCell ref="E73:F77"/>
    <mergeCell ref="M73:M77"/>
    <mergeCell ref="N73:N77"/>
    <mergeCell ref="P73:P77"/>
    <mergeCell ref="Q73:Q77"/>
    <mergeCell ref="AU67:AU71"/>
    <mergeCell ref="AV67:AV71"/>
    <mergeCell ref="AW67:AW71"/>
    <mergeCell ref="AX67:AX71"/>
    <mergeCell ref="AY67:AY71"/>
    <mergeCell ref="AZ67:AZ71"/>
    <mergeCell ref="AO67:AO71"/>
    <mergeCell ref="AP67:AP71"/>
    <mergeCell ref="AQ67:AQ71"/>
    <mergeCell ref="AR67:AR71"/>
    <mergeCell ref="AS67:AS71"/>
    <mergeCell ref="AT67:AT71"/>
    <mergeCell ref="AI67:AI71"/>
    <mergeCell ref="AJ67:AJ71"/>
    <mergeCell ref="AK67:AK71"/>
    <mergeCell ref="AL67:AL71"/>
    <mergeCell ref="AM67:AM71"/>
    <mergeCell ref="W67:W71"/>
    <mergeCell ref="X67:X71"/>
    <mergeCell ref="Y67:Y71"/>
    <mergeCell ref="Z67:Z71"/>
    <mergeCell ref="AA67:AA71"/>
    <mergeCell ref="AB67:AB71"/>
    <mergeCell ref="AL73:AL77"/>
    <mergeCell ref="AM73:AM77"/>
    <mergeCell ref="BE67:BE71"/>
    <mergeCell ref="BA67:BA71"/>
    <mergeCell ref="BB67:BB71"/>
    <mergeCell ref="BC67:BC71"/>
    <mergeCell ref="AN67:AN71"/>
    <mergeCell ref="AC67:AC71"/>
    <mergeCell ref="AD67:AD71"/>
    <mergeCell ref="AE67:AE71"/>
    <mergeCell ref="AF67:AF71"/>
    <mergeCell ref="AG67:AG71"/>
    <mergeCell ref="AH67:AH71"/>
    <mergeCell ref="BC73:BC77"/>
    <mergeCell ref="BE73:BE77"/>
    <mergeCell ref="AP73:AP77"/>
    <mergeCell ref="AQ73:AQ77"/>
    <mergeCell ref="AR73:AR77"/>
    <mergeCell ref="AS73:AS77"/>
    <mergeCell ref="AT73:AT77"/>
    <mergeCell ref="AU73:AU77"/>
    <mergeCell ref="AJ73:AJ77"/>
    <mergeCell ref="AK73:AK77"/>
    <mergeCell ref="AB80:AB81"/>
    <mergeCell ref="AN73:AN77"/>
    <mergeCell ref="AO73:AO77"/>
    <mergeCell ref="AD73:AD77"/>
    <mergeCell ref="AE73:AE77"/>
    <mergeCell ref="AF73:AF77"/>
    <mergeCell ref="AG73:AG77"/>
    <mergeCell ref="R73:R77"/>
    <mergeCell ref="Y73:Y77"/>
    <mergeCell ref="Z73:Z77"/>
    <mergeCell ref="AA73:AA77"/>
    <mergeCell ref="AB73:AB77"/>
    <mergeCell ref="AC73:AC77"/>
    <mergeCell ref="AK80:AK81"/>
    <mergeCell ref="AL80:AL81"/>
    <mergeCell ref="AM80:AM81"/>
    <mergeCell ref="AF80:AF81"/>
    <mergeCell ref="AG80:AG81"/>
    <mergeCell ref="Z80:Z81"/>
    <mergeCell ref="AA80:AA81"/>
    <mergeCell ref="W80:W81"/>
    <mergeCell ref="X80:X81"/>
    <mergeCell ref="Y80:Y81"/>
    <mergeCell ref="BG73:BG77"/>
    <mergeCell ref="AY73:AY77"/>
    <mergeCell ref="AZ73:AZ77"/>
    <mergeCell ref="BA73:BA77"/>
    <mergeCell ref="AH73:AH77"/>
    <mergeCell ref="AI73:AI77"/>
    <mergeCell ref="BB73:BB77"/>
    <mergeCell ref="AV80:AV81"/>
    <mergeCell ref="AW80:AW81"/>
    <mergeCell ref="AX80:AX81"/>
    <mergeCell ref="AY80:AY81"/>
    <mergeCell ref="AN80:AN81"/>
    <mergeCell ref="AO80:AO81"/>
    <mergeCell ref="AP80:AP81"/>
    <mergeCell ref="AQ80:AQ81"/>
    <mergeCell ref="AR80:AR81"/>
    <mergeCell ref="AS80:AS81"/>
    <mergeCell ref="BF80:BF81"/>
    <mergeCell ref="BG80:BG81"/>
    <mergeCell ref="BD80:BD81"/>
    <mergeCell ref="BE80:BE81"/>
    <mergeCell ref="AV73:AV77"/>
    <mergeCell ref="AW73:AW77"/>
    <mergeCell ref="AX73:AX77"/>
    <mergeCell ref="N83:N85"/>
    <mergeCell ref="AZ80:AZ81"/>
    <mergeCell ref="BA80:BA81"/>
    <mergeCell ref="BB80:BB81"/>
    <mergeCell ref="BC80:BC81"/>
    <mergeCell ref="AT80:AT81"/>
    <mergeCell ref="AU80:AU81"/>
    <mergeCell ref="AH80:AH81"/>
    <mergeCell ref="AI80:AI81"/>
    <mergeCell ref="AJ80:AJ81"/>
    <mergeCell ref="AC80:AC81"/>
    <mergeCell ref="AD80:AD81"/>
    <mergeCell ref="AE80:AE81"/>
    <mergeCell ref="N80:N81"/>
    <mergeCell ref="P80:P81"/>
    <mergeCell ref="Q80:Q81"/>
    <mergeCell ref="Z91:Z92"/>
    <mergeCell ref="U83:U85"/>
    <mergeCell ref="V83:V85"/>
    <mergeCell ref="Y83:Y85"/>
    <mergeCell ref="Z83:Z85"/>
    <mergeCell ref="AA83:AA85"/>
    <mergeCell ref="AB83:AB85"/>
    <mergeCell ref="O83:O85"/>
    <mergeCell ref="P83:P85"/>
    <mergeCell ref="Q83:Q86"/>
    <mergeCell ref="R83:R86"/>
    <mergeCell ref="S83:S86"/>
    <mergeCell ref="T83:T85"/>
    <mergeCell ref="BG83:BG85"/>
    <mergeCell ref="W84:W85"/>
    <mergeCell ref="X84:X85"/>
    <mergeCell ref="BC83:BC85"/>
    <mergeCell ref="BD83:BD85"/>
    <mergeCell ref="BE83:BE85"/>
    <mergeCell ref="BF83:BF85"/>
    <mergeCell ref="AL83:AL85"/>
    <mergeCell ref="AM83:AM85"/>
    <mergeCell ref="AN83:AN85"/>
    <mergeCell ref="AC83:AC85"/>
    <mergeCell ref="AD83:AD85"/>
    <mergeCell ref="AE83:AE85"/>
    <mergeCell ref="AF83:AF85"/>
    <mergeCell ref="AG83:AG85"/>
    <mergeCell ref="AH83:AH85"/>
    <mergeCell ref="BA83:BA85"/>
    <mergeCell ref="AU83:AU85"/>
    <mergeCell ref="AV83:AV85"/>
    <mergeCell ref="AW83:AW85"/>
    <mergeCell ref="AX83:AX85"/>
    <mergeCell ref="AY83:AY85"/>
    <mergeCell ref="AZ83:AZ85"/>
    <mergeCell ref="BG91:BG92"/>
    <mergeCell ref="C94:D95"/>
    <mergeCell ref="E95:F95"/>
    <mergeCell ref="AQ91:AQ92"/>
    <mergeCell ref="AR91:AR92"/>
    <mergeCell ref="AS91:AS92"/>
    <mergeCell ref="AT91:AT92"/>
    <mergeCell ref="AU91:AU92"/>
    <mergeCell ref="AV91:AV92"/>
    <mergeCell ref="AK91:AK92"/>
    <mergeCell ref="AL91:AL92"/>
    <mergeCell ref="AM91:AM92"/>
    <mergeCell ref="AN91:AN92"/>
    <mergeCell ref="AO91:AO92"/>
    <mergeCell ref="AP91:AP92"/>
    <mergeCell ref="AE91:AE92"/>
    <mergeCell ref="AF91:AF92"/>
    <mergeCell ref="AG91:AG92"/>
    <mergeCell ref="AH91:AH92"/>
    <mergeCell ref="AI91:AI92"/>
    <mergeCell ref="AA91:AA92"/>
    <mergeCell ref="AB91:AB92"/>
    <mergeCell ref="AC91:AC92"/>
    <mergeCell ref="AD91:AD92"/>
    <mergeCell ref="A96:O96"/>
    <mergeCell ref="BD58:BD61"/>
    <mergeCell ref="BF58:BF61"/>
    <mergeCell ref="BD67:BD71"/>
    <mergeCell ref="BF67:BF71"/>
    <mergeCell ref="BF73:BF77"/>
    <mergeCell ref="BD73:BD77"/>
    <mergeCell ref="BE91:BE92"/>
    <mergeCell ref="BF91:BF92"/>
    <mergeCell ref="N91:N92"/>
    <mergeCell ref="P91:P92"/>
    <mergeCell ref="Q91:Q92"/>
    <mergeCell ref="R91:R92"/>
    <mergeCell ref="AO83:AO85"/>
    <mergeCell ref="AP83:AP85"/>
    <mergeCell ref="AQ83:AQ85"/>
    <mergeCell ref="AR83:AR85"/>
    <mergeCell ref="AS83:AS85"/>
    <mergeCell ref="AT83:AT85"/>
    <mergeCell ref="AI83:AI85"/>
    <mergeCell ref="AJ83:AJ85"/>
    <mergeCell ref="AK83:AK85"/>
    <mergeCell ref="AJ91:AJ92"/>
    <mergeCell ref="Y91:Y92"/>
  </mergeCells>
  <pageMargins left="0.7" right="0.7" top="0.75" bottom="0.75" header="0.3" footer="0.3"/>
  <pageSetup orientation="portrait" r:id="rId1"/>
  <colBreaks count="2" manualBreakCount="2">
    <brk id="18" max="102" man="1"/>
    <brk id="2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8"/>
  <sheetViews>
    <sheetView topLeftCell="AR1" zoomScale="70" zoomScaleNormal="70" zoomScaleSheetLayoutView="68" workbookViewId="0">
      <selection activeCell="BH1" sqref="BH1"/>
    </sheetView>
  </sheetViews>
  <sheetFormatPr baseColWidth="10" defaultColWidth="11.42578125" defaultRowHeight="14.25" x14ac:dyDescent="0.2"/>
  <cols>
    <col min="1" max="1" width="13.5703125" style="4" customWidth="1"/>
    <col min="2" max="2" width="19" style="4" customWidth="1"/>
    <col min="3" max="3" width="13.5703125" style="4" customWidth="1"/>
    <col min="4" max="4" width="19.7109375" style="4" customWidth="1"/>
    <col min="5" max="5" width="13.5703125" style="4" customWidth="1"/>
    <col min="6" max="6" width="14.7109375" style="1769" customWidth="1"/>
    <col min="7" max="7" width="14.7109375" style="4" customWidth="1"/>
    <col min="8" max="8" width="30" style="4" customWidth="1"/>
    <col min="9" max="9" width="29.42578125" style="4" customWidth="1"/>
    <col min="10" max="10" width="11.42578125" style="4"/>
    <col min="11" max="11" width="11.42578125" style="123"/>
    <col min="12" max="12" width="32.28515625" style="4" customWidth="1"/>
    <col min="13" max="13" width="12" style="4" customWidth="1"/>
    <col min="14" max="14" width="28.140625" style="4" customWidth="1"/>
    <col min="15" max="15" width="11.42578125" style="4"/>
    <col min="16" max="16" width="24.7109375" style="625" customWidth="1"/>
    <col min="17" max="17" width="36.42578125" style="4" customWidth="1"/>
    <col min="18" max="18" width="46.7109375" style="4" customWidth="1"/>
    <col min="19" max="19" width="35.140625" style="4" customWidth="1"/>
    <col min="20" max="20" width="25.42578125" style="625" customWidth="1"/>
    <col min="21" max="21" width="25.42578125" style="633" customWidth="1"/>
    <col min="22" max="22" width="24.28515625" style="633" customWidth="1"/>
    <col min="23" max="23" width="9.85546875" style="4" bestFit="1" customWidth="1"/>
    <col min="24" max="24" width="18.7109375" style="4" customWidth="1"/>
    <col min="25" max="25" width="7" style="4" customWidth="1"/>
    <col min="26" max="26" width="7" style="123" customWidth="1"/>
    <col min="27" max="27" width="7" style="4" customWidth="1"/>
    <col min="28" max="28" width="8.42578125" style="123" customWidth="1"/>
    <col min="29" max="29" width="8.42578125" style="4" customWidth="1"/>
    <col min="30" max="30" width="8.42578125" style="123" customWidth="1"/>
    <col min="31" max="31" width="8.28515625" style="4" customWidth="1"/>
    <col min="32" max="32" width="8.28515625" style="123" customWidth="1"/>
    <col min="33" max="33" width="8.42578125" style="4" customWidth="1"/>
    <col min="34" max="34" width="8.28515625" style="123" customWidth="1"/>
    <col min="35" max="35" width="9.5703125" style="4" customWidth="1"/>
    <col min="36" max="36" width="9.5703125" style="123" customWidth="1"/>
    <col min="37" max="37" width="8.42578125" style="4" customWidth="1"/>
    <col min="38" max="38" width="5.85546875" style="123" customWidth="1"/>
    <col min="39" max="39" width="5.85546875" style="4" customWidth="1"/>
    <col min="40" max="40" width="5.85546875" style="123" customWidth="1"/>
    <col min="41" max="41" width="3.85546875" style="4" customWidth="1"/>
    <col min="42" max="42" width="3.85546875" style="123" customWidth="1"/>
    <col min="43" max="43" width="3.85546875" style="4" customWidth="1"/>
    <col min="44" max="44" width="3.85546875" style="123" customWidth="1"/>
    <col min="45" max="45" width="3.85546875" style="4" customWidth="1"/>
    <col min="46" max="46" width="3.140625" style="123" bestFit="1" customWidth="1"/>
    <col min="47" max="47" width="3.7109375" style="4" customWidth="1"/>
    <col min="48" max="48" width="3.140625" style="123" bestFit="1" customWidth="1"/>
    <col min="49" max="49" width="16.42578125" style="4" customWidth="1"/>
    <col min="50" max="54" width="22" style="4" customWidth="1"/>
    <col min="55" max="55" width="18" style="4" customWidth="1"/>
    <col min="56" max="56" width="18" style="123" customWidth="1"/>
    <col min="57" max="57" width="21.42578125" style="4" customWidth="1"/>
    <col min="58" max="58" width="21.42578125" style="123" customWidth="1"/>
    <col min="59" max="59" width="34.28515625" style="4" customWidth="1"/>
    <col min="60" max="279" width="11.42578125" style="4"/>
    <col min="280" max="280" width="14.140625" style="4" customWidth="1"/>
    <col min="281" max="281" width="11.42578125" style="4"/>
    <col min="282" max="282" width="14.140625" style="4" customWidth="1"/>
    <col min="283" max="283" width="11.42578125" style="4"/>
    <col min="284" max="284" width="14.28515625" style="4" customWidth="1"/>
    <col min="285" max="285" width="11.42578125" style="4"/>
    <col min="286" max="286" width="30" style="4" customWidth="1"/>
    <col min="287" max="287" width="29.42578125" style="4" customWidth="1"/>
    <col min="288" max="288" width="11.42578125" style="4"/>
    <col min="289" max="289" width="18.7109375" style="4" customWidth="1"/>
    <col min="290" max="290" width="28.140625" style="4" customWidth="1"/>
    <col min="291" max="291" width="11.42578125" style="4"/>
    <col min="292" max="292" width="19.5703125" style="4" customWidth="1"/>
    <col min="293" max="293" width="36.42578125" style="4" customWidth="1"/>
    <col min="294" max="294" width="46.7109375" style="4" customWidth="1"/>
    <col min="295" max="295" width="28" style="4" customWidth="1"/>
    <col min="296" max="296" width="16.42578125" style="4" customWidth="1"/>
    <col min="297" max="297" width="12.42578125" style="4" customWidth="1"/>
    <col min="298" max="309" width="11.42578125" style="4"/>
    <col min="310" max="310" width="13" style="4" customWidth="1"/>
    <col min="311" max="311" width="14.7109375" style="4" customWidth="1"/>
    <col min="312" max="312" width="34.28515625" style="4" customWidth="1"/>
    <col min="313" max="535" width="11.42578125" style="4"/>
    <col min="536" max="536" width="14.140625" style="4" customWidth="1"/>
    <col min="537" max="537" width="11.42578125" style="4"/>
    <col min="538" max="538" width="14.140625" style="4" customWidth="1"/>
    <col min="539" max="539" width="11.42578125" style="4"/>
    <col min="540" max="540" width="14.28515625" style="4" customWidth="1"/>
    <col min="541" max="541" width="11.42578125" style="4"/>
    <col min="542" max="542" width="30" style="4" customWidth="1"/>
    <col min="543" max="543" width="29.42578125" style="4" customWidth="1"/>
    <col min="544" max="544" width="11.42578125" style="4"/>
    <col min="545" max="545" width="18.7109375" style="4" customWidth="1"/>
    <col min="546" max="546" width="28.140625" style="4" customWidth="1"/>
    <col min="547" max="547" width="11.42578125" style="4"/>
    <col min="548" max="548" width="19.5703125" style="4" customWidth="1"/>
    <col min="549" max="549" width="36.42578125" style="4" customWidth="1"/>
    <col min="550" max="550" width="46.7109375" style="4" customWidth="1"/>
    <col min="551" max="551" width="28" style="4" customWidth="1"/>
    <col min="552" max="552" width="16.42578125" style="4" customWidth="1"/>
    <col min="553" max="553" width="12.42578125" style="4" customWidth="1"/>
    <col min="554" max="565" width="11.42578125" style="4"/>
    <col min="566" max="566" width="13" style="4" customWidth="1"/>
    <col min="567" max="567" width="14.7109375" style="4" customWidth="1"/>
    <col min="568" max="568" width="34.28515625" style="4" customWidth="1"/>
    <col min="569" max="791" width="11.42578125" style="4"/>
    <col min="792" max="792" width="14.140625" style="4" customWidth="1"/>
    <col min="793" max="793" width="11.42578125" style="4"/>
    <col min="794" max="794" width="14.140625" style="4" customWidth="1"/>
    <col min="795" max="795" width="11.42578125" style="4"/>
    <col min="796" max="796" width="14.28515625" style="4" customWidth="1"/>
    <col min="797" max="797" width="11.42578125" style="4"/>
    <col min="798" max="798" width="30" style="4" customWidth="1"/>
    <col min="799" max="799" width="29.42578125" style="4" customWidth="1"/>
    <col min="800" max="800" width="11.42578125" style="4"/>
    <col min="801" max="801" width="18.7109375" style="4" customWidth="1"/>
    <col min="802" max="802" width="28.140625" style="4" customWidth="1"/>
    <col min="803" max="803" width="11.42578125" style="4"/>
    <col min="804" max="804" width="19.5703125" style="4" customWidth="1"/>
    <col min="805" max="805" width="36.42578125" style="4" customWidth="1"/>
    <col min="806" max="806" width="46.7109375" style="4" customWidth="1"/>
    <col min="807" max="807" width="28" style="4" customWidth="1"/>
    <col min="808" max="808" width="16.42578125" style="4" customWidth="1"/>
    <col min="809" max="809" width="12.42578125" style="4" customWidth="1"/>
    <col min="810" max="821" width="11.42578125" style="4"/>
    <col min="822" max="822" width="13" style="4" customWidth="1"/>
    <col min="823" max="823" width="14.7109375" style="4" customWidth="1"/>
    <col min="824" max="824" width="34.28515625" style="4" customWidth="1"/>
    <col min="825" max="1047" width="11.42578125" style="4"/>
    <col min="1048" max="1048" width="14.140625" style="4" customWidth="1"/>
    <col min="1049" max="1049" width="11.42578125" style="4"/>
    <col min="1050" max="1050" width="14.140625" style="4" customWidth="1"/>
    <col min="1051" max="1051" width="11.42578125" style="4"/>
    <col min="1052" max="1052" width="14.28515625" style="4" customWidth="1"/>
    <col min="1053" max="1053" width="11.42578125" style="4"/>
    <col min="1054" max="1054" width="30" style="4" customWidth="1"/>
    <col min="1055" max="1055" width="29.42578125" style="4" customWidth="1"/>
    <col min="1056" max="1056" width="11.42578125" style="4"/>
    <col min="1057" max="1057" width="18.7109375" style="4" customWidth="1"/>
    <col min="1058" max="1058" width="28.140625" style="4" customWidth="1"/>
    <col min="1059" max="1059" width="11.42578125" style="4"/>
    <col min="1060" max="1060" width="19.5703125" style="4" customWidth="1"/>
    <col min="1061" max="1061" width="36.42578125" style="4" customWidth="1"/>
    <col min="1062" max="1062" width="46.7109375" style="4" customWidth="1"/>
    <col min="1063" max="1063" width="28" style="4" customWidth="1"/>
    <col min="1064" max="1064" width="16.42578125" style="4" customWidth="1"/>
    <col min="1065" max="1065" width="12.42578125" style="4" customWidth="1"/>
    <col min="1066" max="1077" width="11.42578125" style="4"/>
    <col min="1078" max="1078" width="13" style="4" customWidth="1"/>
    <col min="1079" max="1079" width="14.7109375" style="4" customWidth="1"/>
    <col min="1080" max="1080" width="34.28515625" style="4" customWidth="1"/>
    <col min="1081" max="1303" width="11.42578125" style="4"/>
    <col min="1304" max="1304" width="14.140625" style="4" customWidth="1"/>
    <col min="1305" max="1305" width="11.42578125" style="4"/>
    <col min="1306" max="1306" width="14.140625" style="4" customWidth="1"/>
    <col min="1307" max="1307" width="11.42578125" style="4"/>
    <col min="1308" max="1308" width="14.28515625" style="4" customWidth="1"/>
    <col min="1309" max="1309" width="11.42578125" style="4"/>
    <col min="1310" max="1310" width="30" style="4" customWidth="1"/>
    <col min="1311" max="1311" width="29.42578125" style="4" customWidth="1"/>
    <col min="1312" max="1312" width="11.42578125" style="4"/>
    <col min="1313" max="1313" width="18.7109375" style="4" customWidth="1"/>
    <col min="1314" max="1314" width="28.140625" style="4" customWidth="1"/>
    <col min="1315" max="1315" width="11.42578125" style="4"/>
    <col min="1316" max="1316" width="19.5703125" style="4" customWidth="1"/>
    <col min="1317" max="1317" width="36.42578125" style="4" customWidth="1"/>
    <col min="1318" max="1318" width="46.7109375" style="4" customWidth="1"/>
    <col min="1319" max="1319" width="28" style="4" customWidth="1"/>
    <col min="1320" max="1320" width="16.42578125" style="4" customWidth="1"/>
    <col min="1321" max="1321" width="12.42578125" style="4" customWidth="1"/>
    <col min="1322" max="1333" width="11.42578125" style="4"/>
    <col min="1334" max="1334" width="13" style="4" customWidth="1"/>
    <col min="1335" max="1335" width="14.7109375" style="4" customWidth="1"/>
    <col min="1336" max="1336" width="34.28515625" style="4" customWidth="1"/>
    <col min="1337" max="1559" width="11.42578125" style="4"/>
    <col min="1560" max="1560" width="14.140625" style="4" customWidth="1"/>
    <col min="1561" max="1561" width="11.42578125" style="4"/>
    <col min="1562" max="1562" width="14.140625" style="4" customWidth="1"/>
    <col min="1563" max="1563" width="11.42578125" style="4"/>
    <col min="1564" max="1564" width="14.28515625" style="4" customWidth="1"/>
    <col min="1565" max="1565" width="11.42578125" style="4"/>
    <col min="1566" max="1566" width="30" style="4" customWidth="1"/>
    <col min="1567" max="1567" width="29.42578125" style="4" customWidth="1"/>
    <col min="1568" max="1568" width="11.42578125" style="4"/>
    <col min="1569" max="1569" width="18.7109375" style="4" customWidth="1"/>
    <col min="1570" max="1570" width="28.140625" style="4" customWidth="1"/>
    <col min="1571" max="1571" width="11.42578125" style="4"/>
    <col min="1572" max="1572" width="19.5703125" style="4" customWidth="1"/>
    <col min="1573" max="1573" width="36.42578125" style="4" customWidth="1"/>
    <col min="1574" max="1574" width="46.7109375" style="4" customWidth="1"/>
    <col min="1575" max="1575" width="28" style="4" customWidth="1"/>
    <col min="1576" max="1576" width="16.42578125" style="4" customWidth="1"/>
    <col min="1577" max="1577" width="12.42578125" style="4" customWidth="1"/>
    <col min="1578" max="1589" width="11.42578125" style="4"/>
    <col min="1590" max="1590" width="13" style="4" customWidth="1"/>
    <col min="1591" max="1591" width="14.7109375" style="4" customWidth="1"/>
    <col min="1592" max="1592" width="34.28515625" style="4" customWidth="1"/>
    <col min="1593" max="1815" width="11.42578125" style="4"/>
    <col min="1816" max="1816" width="14.140625" style="4" customWidth="1"/>
    <col min="1817" max="1817" width="11.42578125" style="4"/>
    <col min="1818" max="1818" width="14.140625" style="4" customWidth="1"/>
    <col min="1819" max="1819" width="11.42578125" style="4"/>
    <col min="1820" max="1820" width="14.28515625" style="4" customWidth="1"/>
    <col min="1821" max="1821" width="11.42578125" style="4"/>
    <col min="1822" max="1822" width="30" style="4" customWidth="1"/>
    <col min="1823" max="1823" width="29.42578125" style="4" customWidth="1"/>
    <col min="1824" max="1824" width="11.42578125" style="4"/>
    <col min="1825" max="1825" width="18.7109375" style="4" customWidth="1"/>
    <col min="1826" max="1826" width="28.140625" style="4" customWidth="1"/>
    <col min="1827" max="1827" width="11.42578125" style="4"/>
    <col min="1828" max="1828" width="19.5703125" style="4" customWidth="1"/>
    <col min="1829" max="1829" width="36.42578125" style="4" customWidth="1"/>
    <col min="1830" max="1830" width="46.7109375" style="4" customWidth="1"/>
    <col min="1831" max="1831" width="28" style="4" customWidth="1"/>
    <col min="1832" max="1832" width="16.42578125" style="4" customWidth="1"/>
    <col min="1833" max="1833" width="12.42578125" style="4" customWidth="1"/>
    <col min="1834" max="1845" width="11.42578125" style="4"/>
    <col min="1846" max="1846" width="13" style="4" customWidth="1"/>
    <col min="1847" max="1847" width="14.7109375" style="4" customWidth="1"/>
    <col min="1848" max="1848" width="34.28515625" style="4" customWidth="1"/>
    <col min="1849" max="2071" width="11.42578125" style="4"/>
    <col min="2072" max="2072" width="14.140625" style="4" customWidth="1"/>
    <col min="2073" max="2073" width="11.42578125" style="4"/>
    <col min="2074" max="2074" width="14.140625" style="4" customWidth="1"/>
    <col min="2075" max="2075" width="11.42578125" style="4"/>
    <col min="2076" max="2076" width="14.28515625" style="4" customWidth="1"/>
    <col min="2077" max="2077" width="11.42578125" style="4"/>
    <col min="2078" max="2078" width="30" style="4" customWidth="1"/>
    <col min="2079" max="2079" width="29.42578125" style="4" customWidth="1"/>
    <col min="2080" max="2080" width="11.42578125" style="4"/>
    <col min="2081" max="2081" width="18.7109375" style="4" customWidth="1"/>
    <col min="2082" max="2082" width="28.140625" style="4" customWidth="1"/>
    <col min="2083" max="2083" width="11.42578125" style="4"/>
    <col min="2084" max="2084" width="19.5703125" style="4" customWidth="1"/>
    <col min="2085" max="2085" width="36.42578125" style="4" customWidth="1"/>
    <col min="2086" max="2086" width="46.7109375" style="4" customWidth="1"/>
    <col min="2087" max="2087" width="28" style="4" customWidth="1"/>
    <col min="2088" max="2088" width="16.42578125" style="4" customWidth="1"/>
    <col min="2089" max="2089" width="12.42578125" style="4" customWidth="1"/>
    <col min="2090" max="2101" width="11.42578125" style="4"/>
    <col min="2102" max="2102" width="13" style="4" customWidth="1"/>
    <col min="2103" max="2103" width="14.7109375" style="4" customWidth="1"/>
    <col min="2104" max="2104" width="34.28515625" style="4" customWidth="1"/>
    <col min="2105" max="2327" width="11.42578125" style="4"/>
    <col min="2328" max="2328" width="14.140625" style="4" customWidth="1"/>
    <col min="2329" max="2329" width="11.42578125" style="4"/>
    <col min="2330" max="2330" width="14.140625" style="4" customWidth="1"/>
    <col min="2331" max="2331" width="11.42578125" style="4"/>
    <col min="2332" max="2332" width="14.28515625" style="4" customWidth="1"/>
    <col min="2333" max="2333" width="11.42578125" style="4"/>
    <col min="2334" max="2334" width="30" style="4" customWidth="1"/>
    <col min="2335" max="2335" width="29.42578125" style="4" customWidth="1"/>
    <col min="2336" max="2336" width="11.42578125" style="4"/>
    <col min="2337" max="2337" width="18.7109375" style="4" customWidth="1"/>
    <col min="2338" max="2338" width="28.140625" style="4" customWidth="1"/>
    <col min="2339" max="2339" width="11.42578125" style="4"/>
    <col min="2340" max="2340" width="19.5703125" style="4" customWidth="1"/>
    <col min="2341" max="2341" width="36.42578125" style="4" customWidth="1"/>
    <col min="2342" max="2342" width="46.7109375" style="4" customWidth="1"/>
    <col min="2343" max="2343" width="28" style="4" customWidth="1"/>
    <col min="2344" max="2344" width="16.42578125" style="4" customWidth="1"/>
    <col min="2345" max="2345" width="12.42578125" style="4" customWidth="1"/>
    <col min="2346" max="2357" width="11.42578125" style="4"/>
    <col min="2358" max="2358" width="13" style="4" customWidth="1"/>
    <col min="2359" max="2359" width="14.7109375" style="4" customWidth="1"/>
    <col min="2360" max="2360" width="34.28515625" style="4" customWidth="1"/>
    <col min="2361" max="2583" width="11.42578125" style="4"/>
    <col min="2584" max="2584" width="14.140625" style="4" customWidth="1"/>
    <col min="2585" max="2585" width="11.42578125" style="4"/>
    <col min="2586" max="2586" width="14.140625" style="4" customWidth="1"/>
    <col min="2587" max="2587" width="11.42578125" style="4"/>
    <col min="2588" max="2588" width="14.28515625" style="4" customWidth="1"/>
    <col min="2589" max="2589" width="11.42578125" style="4"/>
    <col min="2590" max="2590" width="30" style="4" customWidth="1"/>
    <col min="2591" max="2591" width="29.42578125" style="4" customWidth="1"/>
    <col min="2592" max="2592" width="11.42578125" style="4"/>
    <col min="2593" max="2593" width="18.7109375" style="4" customWidth="1"/>
    <col min="2594" max="2594" width="28.140625" style="4" customWidth="1"/>
    <col min="2595" max="2595" width="11.42578125" style="4"/>
    <col min="2596" max="2596" width="19.5703125" style="4" customWidth="1"/>
    <col min="2597" max="2597" width="36.42578125" style="4" customWidth="1"/>
    <col min="2598" max="2598" width="46.7109375" style="4" customWidth="1"/>
    <col min="2599" max="2599" width="28" style="4" customWidth="1"/>
    <col min="2600" max="2600" width="16.42578125" style="4" customWidth="1"/>
    <col min="2601" max="2601" width="12.42578125" style="4" customWidth="1"/>
    <col min="2602" max="2613" width="11.42578125" style="4"/>
    <col min="2614" max="2614" width="13" style="4" customWidth="1"/>
    <col min="2615" max="2615" width="14.7109375" style="4" customWidth="1"/>
    <col min="2616" max="2616" width="34.28515625" style="4" customWidth="1"/>
    <col min="2617" max="2839" width="11.42578125" style="4"/>
    <col min="2840" max="2840" width="14.140625" style="4" customWidth="1"/>
    <col min="2841" max="2841" width="11.42578125" style="4"/>
    <col min="2842" max="2842" width="14.140625" style="4" customWidth="1"/>
    <col min="2843" max="2843" width="11.42578125" style="4"/>
    <col min="2844" max="2844" width="14.28515625" style="4" customWidth="1"/>
    <col min="2845" max="2845" width="11.42578125" style="4"/>
    <col min="2846" max="2846" width="30" style="4" customWidth="1"/>
    <col min="2847" max="2847" width="29.42578125" style="4" customWidth="1"/>
    <col min="2848" max="2848" width="11.42578125" style="4"/>
    <col min="2849" max="2849" width="18.7109375" style="4" customWidth="1"/>
    <col min="2850" max="2850" width="28.140625" style="4" customWidth="1"/>
    <col min="2851" max="2851" width="11.42578125" style="4"/>
    <col min="2852" max="2852" width="19.5703125" style="4" customWidth="1"/>
    <col min="2853" max="2853" width="36.42578125" style="4" customWidth="1"/>
    <col min="2854" max="2854" width="46.7109375" style="4" customWidth="1"/>
    <col min="2855" max="2855" width="28" style="4" customWidth="1"/>
    <col min="2856" max="2856" width="16.42578125" style="4" customWidth="1"/>
    <col min="2857" max="2857" width="12.42578125" style="4" customWidth="1"/>
    <col min="2858" max="2869" width="11.42578125" style="4"/>
    <col min="2870" max="2870" width="13" style="4" customWidth="1"/>
    <col min="2871" max="2871" width="14.7109375" style="4" customWidth="1"/>
    <col min="2872" max="2872" width="34.28515625" style="4" customWidth="1"/>
    <col min="2873" max="3095" width="11.42578125" style="4"/>
    <col min="3096" max="3096" width="14.140625" style="4" customWidth="1"/>
    <col min="3097" max="3097" width="11.42578125" style="4"/>
    <col min="3098" max="3098" width="14.140625" style="4" customWidth="1"/>
    <col min="3099" max="3099" width="11.42578125" style="4"/>
    <col min="3100" max="3100" width="14.28515625" style="4" customWidth="1"/>
    <col min="3101" max="3101" width="11.42578125" style="4"/>
    <col min="3102" max="3102" width="30" style="4" customWidth="1"/>
    <col min="3103" max="3103" width="29.42578125" style="4" customWidth="1"/>
    <col min="3104" max="3104" width="11.42578125" style="4"/>
    <col min="3105" max="3105" width="18.7109375" style="4" customWidth="1"/>
    <col min="3106" max="3106" width="28.140625" style="4" customWidth="1"/>
    <col min="3107" max="3107" width="11.42578125" style="4"/>
    <col min="3108" max="3108" width="19.5703125" style="4" customWidth="1"/>
    <col min="3109" max="3109" width="36.42578125" style="4" customWidth="1"/>
    <col min="3110" max="3110" width="46.7109375" style="4" customWidth="1"/>
    <col min="3111" max="3111" width="28" style="4" customWidth="1"/>
    <col min="3112" max="3112" width="16.42578125" style="4" customWidth="1"/>
    <col min="3113" max="3113" width="12.42578125" style="4" customWidth="1"/>
    <col min="3114" max="3125" width="11.42578125" style="4"/>
    <col min="3126" max="3126" width="13" style="4" customWidth="1"/>
    <col min="3127" max="3127" width="14.7109375" style="4" customWidth="1"/>
    <col min="3128" max="3128" width="34.28515625" style="4" customWidth="1"/>
    <col min="3129" max="3351" width="11.42578125" style="4"/>
    <col min="3352" max="3352" width="14.140625" style="4" customWidth="1"/>
    <col min="3353" max="3353" width="11.42578125" style="4"/>
    <col min="3354" max="3354" width="14.140625" style="4" customWidth="1"/>
    <col min="3355" max="3355" width="11.42578125" style="4"/>
    <col min="3356" max="3356" width="14.28515625" style="4" customWidth="1"/>
    <col min="3357" max="3357" width="11.42578125" style="4"/>
    <col min="3358" max="3358" width="30" style="4" customWidth="1"/>
    <col min="3359" max="3359" width="29.42578125" style="4" customWidth="1"/>
    <col min="3360" max="3360" width="11.42578125" style="4"/>
    <col min="3361" max="3361" width="18.7109375" style="4" customWidth="1"/>
    <col min="3362" max="3362" width="28.140625" style="4" customWidth="1"/>
    <col min="3363" max="3363" width="11.42578125" style="4"/>
    <col min="3364" max="3364" width="19.5703125" style="4" customWidth="1"/>
    <col min="3365" max="3365" width="36.42578125" style="4" customWidth="1"/>
    <col min="3366" max="3366" width="46.7109375" style="4" customWidth="1"/>
    <col min="3367" max="3367" width="28" style="4" customWidth="1"/>
    <col min="3368" max="3368" width="16.42578125" style="4" customWidth="1"/>
    <col min="3369" max="3369" width="12.42578125" style="4" customWidth="1"/>
    <col min="3370" max="3381" width="11.42578125" style="4"/>
    <col min="3382" max="3382" width="13" style="4" customWidth="1"/>
    <col min="3383" max="3383" width="14.7109375" style="4" customWidth="1"/>
    <col min="3384" max="3384" width="34.28515625" style="4" customWidth="1"/>
    <col min="3385" max="3607" width="11.42578125" style="4"/>
    <col min="3608" max="3608" width="14.140625" style="4" customWidth="1"/>
    <col min="3609" max="3609" width="11.42578125" style="4"/>
    <col min="3610" max="3610" width="14.140625" style="4" customWidth="1"/>
    <col min="3611" max="3611" width="11.42578125" style="4"/>
    <col min="3612" max="3612" width="14.28515625" style="4" customWidth="1"/>
    <col min="3613" max="3613" width="11.42578125" style="4"/>
    <col min="3614" max="3614" width="30" style="4" customWidth="1"/>
    <col min="3615" max="3615" width="29.42578125" style="4" customWidth="1"/>
    <col min="3616" max="3616" width="11.42578125" style="4"/>
    <col min="3617" max="3617" width="18.7109375" style="4" customWidth="1"/>
    <col min="3618" max="3618" width="28.140625" style="4" customWidth="1"/>
    <col min="3619" max="3619" width="11.42578125" style="4"/>
    <col min="3620" max="3620" width="19.5703125" style="4" customWidth="1"/>
    <col min="3621" max="3621" width="36.42578125" style="4" customWidth="1"/>
    <col min="3622" max="3622" width="46.7109375" style="4" customWidth="1"/>
    <col min="3623" max="3623" width="28" style="4" customWidth="1"/>
    <col min="3624" max="3624" width="16.42578125" style="4" customWidth="1"/>
    <col min="3625" max="3625" width="12.42578125" style="4" customWidth="1"/>
    <col min="3626" max="3637" width="11.42578125" style="4"/>
    <col min="3638" max="3638" width="13" style="4" customWidth="1"/>
    <col min="3639" max="3639" width="14.7109375" style="4" customWidth="1"/>
    <col min="3640" max="3640" width="34.28515625" style="4" customWidth="1"/>
    <col min="3641" max="3863" width="11.42578125" style="4"/>
    <col min="3864" max="3864" width="14.140625" style="4" customWidth="1"/>
    <col min="3865" max="3865" width="11.42578125" style="4"/>
    <col min="3866" max="3866" width="14.140625" style="4" customWidth="1"/>
    <col min="3867" max="3867" width="11.42578125" style="4"/>
    <col min="3868" max="3868" width="14.28515625" style="4" customWidth="1"/>
    <col min="3869" max="3869" width="11.42578125" style="4"/>
    <col min="3870" max="3870" width="30" style="4" customWidth="1"/>
    <col min="3871" max="3871" width="29.42578125" style="4" customWidth="1"/>
    <col min="3872" max="3872" width="11.42578125" style="4"/>
    <col min="3873" max="3873" width="18.7109375" style="4" customWidth="1"/>
    <col min="3874" max="3874" width="28.140625" style="4" customWidth="1"/>
    <col min="3875" max="3875" width="11.42578125" style="4"/>
    <col min="3876" max="3876" width="19.5703125" style="4" customWidth="1"/>
    <col min="3877" max="3877" width="36.42578125" style="4" customWidth="1"/>
    <col min="3878" max="3878" width="46.7109375" style="4" customWidth="1"/>
    <col min="3879" max="3879" width="28" style="4" customWidth="1"/>
    <col min="3880" max="3880" width="16.42578125" style="4" customWidth="1"/>
    <col min="3881" max="3881" width="12.42578125" style="4" customWidth="1"/>
    <col min="3882" max="3893" width="11.42578125" style="4"/>
    <col min="3894" max="3894" width="13" style="4" customWidth="1"/>
    <col min="3895" max="3895" width="14.7109375" style="4" customWidth="1"/>
    <col min="3896" max="3896" width="34.28515625" style="4" customWidth="1"/>
    <col min="3897" max="4119" width="11.42578125" style="4"/>
    <col min="4120" max="4120" width="14.140625" style="4" customWidth="1"/>
    <col min="4121" max="4121" width="11.42578125" style="4"/>
    <col min="4122" max="4122" width="14.140625" style="4" customWidth="1"/>
    <col min="4123" max="4123" width="11.42578125" style="4"/>
    <col min="4124" max="4124" width="14.28515625" style="4" customWidth="1"/>
    <col min="4125" max="4125" width="11.42578125" style="4"/>
    <col min="4126" max="4126" width="30" style="4" customWidth="1"/>
    <col min="4127" max="4127" width="29.42578125" style="4" customWidth="1"/>
    <col min="4128" max="4128" width="11.42578125" style="4"/>
    <col min="4129" max="4129" width="18.7109375" style="4" customWidth="1"/>
    <col min="4130" max="4130" width="28.140625" style="4" customWidth="1"/>
    <col min="4131" max="4131" width="11.42578125" style="4"/>
    <col min="4132" max="4132" width="19.5703125" style="4" customWidth="1"/>
    <col min="4133" max="4133" width="36.42578125" style="4" customWidth="1"/>
    <col min="4134" max="4134" width="46.7109375" style="4" customWidth="1"/>
    <col min="4135" max="4135" width="28" style="4" customWidth="1"/>
    <col min="4136" max="4136" width="16.42578125" style="4" customWidth="1"/>
    <col min="4137" max="4137" width="12.42578125" style="4" customWidth="1"/>
    <col min="4138" max="4149" width="11.42578125" style="4"/>
    <col min="4150" max="4150" width="13" style="4" customWidth="1"/>
    <col min="4151" max="4151" width="14.7109375" style="4" customWidth="1"/>
    <col min="4152" max="4152" width="34.28515625" style="4" customWidth="1"/>
    <col min="4153" max="4375" width="11.42578125" style="4"/>
    <col min="4376" max="4376" width="14.140625" style="4" customWidth="1"/>
    <col min="4377" max="4377" width="11.42578125" style="4"/>
    <col min="4378" max="4378" width="14.140625" style="4" customWidth="1"/>
    <col min="4379" max="4379" width="11.42578125" style="4"/>
    <col min="4380" max="4380" width="14.28515625" style="4" customWidth="1"/>
    <col min="4381" max="4381" width="11.42578125" style="4"/>
    <col min="4382" max="4382" width="30" style="4" customWidth="1"/>
    <col min="4383" max="4383" width="29.42578125" style="4" customWidth="1"/>
    <col min="4384" max="4384" width="11.42578125" style="4"/>
    <col min="4385" max="4385" width="18.7109375" style="4" customWidth="1"/>
    <col min="4386" max="4386" width="28.140625" style="4" customWidth="1"/>
    <col min="4387" max="4387" width="11.42578125" style="4"/>
    <col min="4388" max="4388" width="19.5703125" style="4" customWidth="1"/>
    <col min="4389" max="4389" width="36.42578125" style="4" customWidth="1"/>
    <col min="4390" max="4390" width="46.7109375" style="4" customWidth="1"/>
    <col min="4391" max="4391" width="28" style="4" customWidth="1"/>
    <col min="4392" max="4392" width="16.42578125" style="4" customWidth="1"/>
    <col min="4393" max="4393" width="12.42578125" style="4" customWidth="1"/>
    <col min="4394" max="4405" width="11.42578125" style="4"/>
    <col min="4406" max="4406" width="13" style="4" customWidth="1"/>
    <col min="4407" max="4407" width="14.7109375" style="4" customWidth="1"/>
    <col min="4408" max="4408" width="34.28515625" style="4" customWidth="1"/>
    <col min="4409" max="4631" width="11.42578125" style="4"/>
    <col min="4632" max="4632" width="14.140625" style="4" customWidth="1"/>
    <col min="4633" max="4633" width="11.42578125" style="4"/>
    <col min="4634" max="4634" width="14.140625" style="4" customWidth="1"/>
    <col min="4635" max="4635" width="11.42578125" style="4"/>
    <col min="4636" max="4636" width="14.28515625" style="4" customWidth="1"/>
    <col min="4637" max="4637" width="11.42578125" style="4"/>
    <col min="4638" max="4638" width="30" style="4" customWidth="1"/>
    <col min="4639" max="4639" width="29.42578125" style="4" customWidth="1"/>
    <col min="4640" max="4640" width="11.42578125" style="4"/>
    <col min="4641" max="4641" width="18.7109375" style="4" customWidth="1"/>
    <col min="4642" max="4642" width="28.140625" style="4" customWidth="1"/>
    <col min="4643" max="4643" width="11.42578125" style="4"/>
    <col min="4644" max="4644" width="19.5703125" style="4" customWidth="1"/>
    <col min="4645" max="4645" width="36.42578125" style="4" customWidth="1"/>
    <col min="4646" max="4646" width="46.7109375" style="4" customWidth="1"/>
    <col min="4647" max="4647" width="28" style="4" customWidth="1"/>
    <col min="4648" max="4648" width="16.42578125" style="4" customWidth="1"/>
    <col min="4649" max="4649" width="12.42578125" style="4" customWidth="1"/>
    <col min="4650" max="4661" width="11.42578125" style="4"/>
    <col min="4662" max="4662" width="13" style="4" customWidth="1"/>
    <col min="4663" max="4663" width="14.7109375" style="4" customWidth="1"/>
    <col min="4664" max="4664" width="34.28515625" style="4" customWidth="1"/>
    <col min="4665" max="4887" width="11.42578125" style="4"/>
    <col min="4888" max="4888" width="14.140625" style="4" customWidth="1"/>
    <col min="4889" max="4889" width="11.42578125" style="4"/>
    <col min="4890" max="4890" width="14.140625" style="4" customWidth="1"/>
    <col min="4891" max="4891" width="11.42578125" style="4"/>
    <col min="4892" max="4892" width="14.28515625" style="4" customWidth="1"/>
    <col min="4893" max="4893" width="11.42578125" style="4"/>
    <col min="4894" max="4894" width="30" style="4" customWidth="1"/>
    <col min="4895" max="4895" width="29.42578125" style="4" customWidth="1"/>
    <col min="4896" max="4896" width="11.42578125" style="4"/>
    <col min="4897" max="4897" width="18.7109375" style="4" customWidth="1"/>
    <col min="4898" max="4898" width="28.140625" style="4" customWidth="1"/>
    <col min="4899" max="4899" width="11.42578125" style="4"/>
    <col min="4900" max="4900" width="19.5703125" style="4" customWidth="1"/>
    <col min="4901" max="4901" width="36.42578125" style="4" customWidth="1"/>
    <col min="4902" max="4902" width="46.7109375" style="4" customWidth="1"/>
    <col min="4903" max="4903" width="28" style="4" customWidth="1"/>
    <col min="4904" max="4904" width="16.42578125" style="4" customWidth="1"/>
    <col min="4905" max="4905" width="12.42578125" style="4" customWidth="1"/>
    <col min="4906" max="4917" width="11.42578125" style="4"/>
    <col min="4918" max="4918" width="13" style="4" customWidth="1"/>
    <col min="4919" max="4919" width="14.7109375" style="4" customWidth="1"/>
    <col min="4920" max="4920" width="34.28515625" style="4" customWidth="1"/>
    <col min="4921" max="5143" width="11.42578125" style="4"/>
    <col min="5144" max="5144" width="14.140625" style="4" customWidth="1"/>
    <col min="5145" max="5145" width="11.42578125" style="4"/>
    <col min="5146" max="5146" width="14.140625" style="4" customWidth="1"/>
    <col min="5147" max="5147" width="11.42578125" style="4"/>
    <col min="5148" max="5148" width="14.28515625" style="4" customWidth="1"/>
    <col min="5149" max="5149" width="11.42578125" style="4"/>
    <col min="5150" max="5150" width="30" style="4" customWidth="1"/>
    <col min="5151" max="5151" width="29.42578125" style="4" customWidth="1"/>
    <col min="5152" max="5152" width="11.42578125" style="4"/>
    <col min="5153" max="5153" width="18.7109375" style="4" customWidth="1"/>
    <col min="5154" max="5154" width="28.140625" style="4" customWidth="1"/>
    <col min="5155" max="5155" width="11.42578125" style="4"/>
    <col min="5156" max="5156" width="19.5703125" style="4" customWidth="1"/>
    <col min="5157" max="5157" width="36.42578125" style="4" customWidth="1"/>
    <col min="5158" max="5158" width="46.7109375" style="4" customWidth="1"/>
    <col min="5159" max="5159" width="28" style="4" customWidth="1"/>
    <col min="5160" max="5160" width="16.42578125" style="4" customWidth="1"/>
    <col min="5161" max="5161" width="12.42578125" style="4" customWidth="1"/>
    <col min="5162" max="5173" width="11.42578125" style="4"/>
    <col min="5174" max="5174" width="13" style="4" customWidth="1"/>
    <col min="5175" max="5175" width="14.7109375" style="4" customWidth="1"/>
    <col min="5176" max="5176" width="34.28515625" style="4" customWidth="1"/>
    <col min="5177" max="5399" width="11.42578125" style="4"/>
    <col min="5400" max="5400" width="14.140625" style="4" customWidth="1"/>
    <col min="5401" max="5401" width="11.42578125" style="4"/>
    <col min="5402" max="5402" width="14.140625" style="4" customWidth="1"/>
    <col min="5403" max="5403" width="11.42578125" style="4"/>
    <col min="5404" max="5404" width="14.28515625" style="4" customWidth="1"/>
    <col min="5405" max="5405" width="11.42578125" style="4"/>
    <col min="5406" max="5406" width="30" style="4" customWidth="1"/>
    <col min="5407" max="5407" width="29.42578125" style="4" customWidth="1"/>
    <col min="5408" max="5408" width="11.42578125" style="4"/>
    <col min="5409" max="5409" width="18.7109375" style="4" customWidth="1"/>
    <col min="5410" max="5410" width="28.140625" style="4" customWidth="1"/>
    <col min="5411" max="5411" width="11.42578125" style="4"/>
    <col min="5412" max="5412" width="19.5703125" style="4" customWidth="1"/>
    <col min="5413" max="5413" width="36.42578125" style="4" customWidth="1"/>
    <col min="5414" max="5414" width="46.7109375" style="4" customWidth="1"/>
    <col min="5415" max="5415" width="28" style="4" customWidth="1"/>
    <col min="5416" max="5416" width="16.42578125" style="4" customWidth="1"/>
    <col min="5417" max="5417" width="12.42578125" style="4" customWidth="1"/>
    <col min="5418" max="5429" width="11.42578125" style="4"/>
    <col min="5430" max="5430" width="13" style="4" customWidth="1"/>
    <col min="5431" max="5431" width="14.7109375" style="4" customWidth="1"/>
    <col min="5432" max="5432" width="34.28515625" style="4" customWidth="1"/>
    <col min="5433" max="5655" width="11.42578125" style="4"/>
    <col min="5656" max="5656" width="14.140625" style="4" customWidth="1"/>
    <col min="5657" max="5657" width="11.42578125" style="4"/>
    <col min="5658" max="5658" width="14.140625" style="4" customWidth="1"/>
    <col min="5659" max="5659" width="11.42578125" style="4"/>
    <col min="5660" max="5660" width="14.28515625" style="4" customWidth="1"/>
    <col min="5661" max="5661" width="11.42578125" style="4"/>
    <col min="5662" max="5662" width="30" style="4" customWidth="1"/>
    <col min="5663" max="5663" width="29.42578125" style="4" customWidth="1"/>
    <col min="5664" max="5664" width="11.42578125" style="4"/>
    <col min="5665" max="5665" width="18.7109375" style="4" customWidth="1"/>
    <col min="5666" max="5666" width="28.140625" style="4" customWidth="1"/>
    <col min="5667" max="5667" width="11.42578125" style="4"/>
    <col min="5668" max="5668" width="19.5703125" style="4" customWidth="1"/>
    <col min="5669" max="5669" width="36.42578125" style="4" customWidth="1"/>
    <col min="5670" max="5670" width="46.7109375" style="4" customWidth="1"/>
    <col min="5671" max="5671" width="28" style="4" customWidth="1"/>
    <col min="5672" max="5672" width="16.42578125" style="4" customWidth="1"/>
    <col min="5673" max="5673" width="12.42578125" style="4" customWidth="1"/>
    <col min="5674" max="5685" width="11.42578125" style="4"/>
    <col min="5686" max="5686" width="13" style="4" customWidth="1"/>
    <col min="5687" max="5687" width="14.7109375" style="4" customWidth="1"/>
    <col min="5688" max="5688" width="34.28515625" style="4" customWidth="1"/>
    <col min="5689" max="5911" width="11.42578125" style="4"/>
    <col min="5912" max="5912" width="14.140625" style="4" customWidth="1"/>
    <col min="5913" max="5913" width="11.42578125" style="4"/>
    <col min="5914" max="5914" width="14.140625" style="4" customWidth="1"/>
    <col min="5915" max="5915" width="11.42578125" style="4"/>
    <col min="5916" max="5916" width="14.28515625" style="4" customWidth="1"/>
    <col min="5917" max="5917" width="11.42578125" style="4"/>
    <col min="5918" max="5918" width="30" style="4" customWidth="1"/>
    <col min="5919" max="5919" width="29.42578125" style="4" customWidth="1"/>
    <col min="5920" max="5920" width="11.42578125" style="4"/>
    <col min="5921" max="5921" width="18.7109375" style="4" customWidth="1"/>
    <col min="5922" max="5922" width="28.140625" style="4" customWidth="1"/>
    <col min="5923" max="5923" width="11.42578125" style="4"/>
    <col min="5924" max="5924" width="19.5703125" style="4" customWidth="1"/>
    <col min="5925" max="5925" width="36.42578125" style="4" customWidth="1"/>
    <col min="5926" max="5926" width="46.7109375" style="4" customWidth="1"/>
    <col min="5927" max="5927" width="28" style="4" customWidth="1"/>
    <col min="5928" max="5928" width="16.42578125" style="4" customWidth="1"/>
    <col min="5929" max="5929" width="12.42578125" style="4" customWidth="1"/>
    <col min="5930" max="5941" width="11.42578125" style="4"/>
    <col min="5942" max="5942" width="13" style="4" customWidth="1"/>
    <col min="5943" max="5943" width="14.7109375" style="4" customWidth="1"/>
    <col min="5944" max="5944" width="34.28515625" style="4" customWidth="1"/>
    <col min="5945" max="6167" width="11.42578125" style="4"/>
    <col min="6168" max="6168" width="14.140625" style="4" customWidth="1"/>
    <col min="6169" max="6169" width="11.42578125" style="4"/>
    <col min="6170" max="6170" width="14.140625" style="4" customWidth="1"/>
    <col min="6171" max="6171" width="11.42578125" style="4"/>
    <col min="6172" max="6172" width="14.28515625" style="4" customWidth="1"/>
    <col min="6173" max="6173" width="11.42578125" style="4"/>
    <col min="6174" max="6174" width="30" style="4" customWidth="1"/>
    <col min="6175" max="6175" width="29.42578125" style="4" customWidth="1"/>
    <col min="6176" max="6176" width="11.42578125" style="4"/>
    <col min="6177" max="6177" width="18.7109375" style="4" customWidth="1"/>
    <col min="6178" max="6178" width="28.140625" style="4" customWidth="1"/>
    <col min="6179" max="6179" width="11.42578125" style="4"/>
    <col min="6180" max="6180" width="19.5703125" style="4" customWidth="1"/>
    <col min="6181" max="6181" width="36.42578125" style="4" customWidth="1"/>
    <col min="6182" max="6182" width="46.7109375" style="4" customWidth="1"/>
    <col min="6183" max="6183" width="28" style="4" customWidth="1"/>
    <col min="6184" max="6184" width="16.42578125" style="4" customWidth="1"/>
    <col min="6185" max="6185" width="12.42578125" style="4" customWidth="1"/>
    <col min="6186" max="6197" width="11.42578125" style="4"/>
    <col min="6198" max="6198" width="13" style="4" customWidth="1"/>
    <col min="6199" max="6199" width="14.7109375" style="4" customWidth="1"/>
    <col min="6200" max="6200" width="34.28515625" style="4" customWidth="1"/>
    <col min="6201" max="6423" width="11.42578125" style="4"/>
    <col min="6424" max="6424" width="14.140625" style="4" customWidth="1"/>
    <col min="6425" max="6425" width="11.42578125" style="4"/>
    <col min="6426" max="6426" width="14.140625" style="4" customWidth="1"/>
    <col min="6427" max="6427" width="11.42578125" style="4"/>
    <col min="6428" max="6428" width="14.28515625" style="4" customWidth="1"/>
    <col min="6429" max="6429" width="11.42578125" style="4"/>
    <col min="6430" max="6430" width="30" style="4" customWidth="1"/>
    <col min="6431" max="6431" width="29.42578125" style="4" customWidth="1"/>
    <col min="6432" max="6432" width="11.42578125" style="4"/>
    <col min="6433" max="6433" width="18.7109375" style="4" customWidth="1"/>
    <col min="6434" max="6434" width="28.140625" style="4" customWidth="1"/>
    <col min="6435" max="6435" width="11.42578125" style="4"/>
    <col min="6436" max="6436" width="19.5703125" style="4" customWidth="1"/>
    <col min="6437" max="6437" width="36.42578125" style="4" customWidth="1"/>
    <col min="6438" max="6438" width="46.7109375" style="4" customWidth="1"/>
    <col min="6439" max="6439" width="28" style="4" customWidth="1"/>
    <col min="6440" max="6440" width="16.42578125" style="4" customWidth="1"/>
    <col min="6441" max="6441" width="12.42578125" style="4" customWidth="1"/>
    <col min="6442" max="6453" width="11.42578125" style="4"/>
    <col min="6454" max="6454" width="13" style="4" customWidth="1"/>
    <col min="6455" max="6455" width="14.7109375" style="4" customWidth="1"/>
    <col min="6456" max="6456" width="34.28515625" style="4" customWidth="1"/>
    <col min="6457" max="6679" width="11.42578125" style="4"/>
    <col min="6680" max="6680" width="14.140625" style="4" customWidth="1"/>
    <col min="6681" max="6681" width="11.42578125" style="4"/>
    <col min="6682" max="6682" width="14.140625" style="4" customWidth="1"/>
    <col min="6683" max="6683" width="11.42578125" style="4"/>
    <col min="6684" max="6684" width="14.28515625" style="4" customWidth="1"/>
    <col min="6685" max="6685" width="11.42578125" style="4"/>
    <col min="6686" max="6686" width="30" style="4" customWidth="1"/>
    <col min="6687" max="6687" width="29.42578125" style="4" customWidth="1"/>
    <col min="6688" max="6688" width="11.42578125" style="4"/>
    <col min="6689" max="6689" width="18.7109375" style="4" customWidth="1"/>
    <col min="6690" max="6690" width="28.140625" style="4" customWidth="1"/>
    <col min="6691" max="6691" width="11.42578125" style="4"/>
    <col min="6692" max="6692" width="19.5703125" style="4" customWidth="1"/>
    <col min="6693" max="6693" width="36.42578125" style="4" customWidth="1"/>
    <col min="6694" max="6694" width="46.7109375" style="4" customWidth="1"/>
    <col min="6695" max="6695" width="28" style="4" customWidth="1"/>
    <col min="6696" max="6696" width="16.42578125" style="4" customWidth="1"/>
    <col min="6697" max="6697" width="12.42578125" style="4" customWidth="1"/>
    <col min="6698" max="6709" width="11.42578125" style="4"/>
    <col min="6710" max="6710" width="13" style="4" customWidth="1"/>
    <col min="6711" max="6711" width="14.7109375" style="4" customWidth="1"/>
    <col min="6712" max="6712" width="34.28515625" style="4" customWidth="1"/>
    <col min="6713" max="6935" width="11.42578125" style="4"/>
    <col min="6936" max="6936" width="14.140625" style="4" customWidth="1"/>
    <col min="6937" max="6937" width="11.42578125" style="4"/>
    <col min="6938" max="6938" width="14.140625" style="4" customWidth="1"/>
    <col min="6939" max="6939" width="11.42578125" style="4"/>
    <col min="6940" max="6940" width="14.28515625" style="4" customWidth="1"/>
    <col min="6941" max="6941" width="11.42578125" style="4"/>
    <col min="6942" max="6942" width="30" style="4" customWidth="1"/>
    <col min="6943" max="6943" width="29.42578125" style="4" customWidth="1"/>
    <col min="6944" max="6944" width="11.42578125" style="4"/>
    <col min="6945" max="6945" width="18.7109375" style="4" customWidth="1"/>
    <col min="6946" max="6946" width="28.140625" style="4" customWidth="1"/>
    <col min="6947" max="6947" width="11.42578125" style="4"/>
    <col min="6948" max="6948" width="19.5703125" style="4" customWidth="1"/>
    <col min="6949" max="6949" width="36.42578125" style="4" customWidth="1"/>
    <col min="6950" max="6950" width="46.7109375" style="4" customWidth="1"/>
    <col min="6951" max="6951" width="28" style="4" customWidth="1"/>
    <col min="6952" max="6952" width="16.42578125" style="4" customWidth="1"/>
    <col min="6953" max="6953" width="12.42578125" style="4" customWidth="1"/>
    <col min="6954" max="6965" width="11.42578125" style="4"/>
    <col min="6966" max="6966" width="13" style="4" customWidth="1"/>
    <col min="6967" max="6967" width="14.7109375" style="4" customWidth="1"/>
    <col min="6968" max="6968" width="34.28515625" style="4" customWidth="1"/>
    <col min="6969" max="7191" width="11.42578125" style="4"/>
    <col min="7192" max="7192" width="14.140625" style="4" customWidth="1"/>
    <col min="7193" max="7193" width="11.42578125" style="4"/>
    <col min="7194" max="7194" width="14.140625" style="4" customWidth="1"/>
    <col min="7195" max="7195" width="11.42578125" style="4"/>
    <col min="7196" max="7196" width="14.28515625" style="4" customWidth="1"/>
    <col min="7197" max="7197" width="11.42578125" style="4"/>
    <col min="7198" max="7198" width="30" style="4" customWidth="1"/>
    <col min="7199" max="7199" width="29.42578125" style="4" customWidth="1"/>
    <col min="7200" max="7200" width="11.42578125" style="4"/>
    <col min="7201" max="7201" width="18.7109375" style="4" customWidth="1"/>
    <col min="7202" max="7202" width="28.140625" style="4" customWidth="1"/>
    <col min="7203" max="7203" width="11.42578125" style="4"/>
    <col min="7204" max="7204" width="19.5703125" style="4" customWidth="1"/>
    <col min="7205" max="7205" width="36.42578125" style="4" customWidth="1"/>
    <col min="7206" max="7206" width="46.7109375" style="4" customWidth="1"/>
    <col min="7207" max="7207" width="28" style="4" customWidth="1"/>
    <col min="7208" max="7208" width="16.42578125" style="4" customWidth="1"/>
    <col min="7209" max="7209" width="12.42578125" style="4" customWidth="1"/>
    <col min="7210" max="7221" width="11.42578125" style="4"/>
    <col min="7222" max="7222" width="13" style="4" customWidth="1"/>
    <col min="7223" max="7223" width="14.7109375" style="4" customWidth="1"/>
    <col min="7224" max="7224" width="34.28515625" style="4" customWidth="1"/>
    <col min="7225" max="7447" width="11.42578125" style="4"/>
    <col min="7448" max="7448" width="14.140625" style="4" customWidth="1"/>
    <col min="7449" max="7449" width="11.42578125" style="4"/>
    <col min="7450" max="7450" width="14.140625" style="4" customWidth="1"/>
    <col min="7451" max="7451" width="11.42578125" style="4"/>
    <col min="7452" max="7452" width="14.28515625" style="4" customWidth="1"/>
    <col min="7453" max="7453" width="11.42578125" style="4"/>
    <col min="7454" max="7454" width="30" style="4" customWidth="1"/>
    <col min="7455" max="7455" width="29.42578125" style="4" customWidth="1"/>
    <col min="7456" max="7456" width="11.42578125" style="4"/>
    <col min="7457" max="7457" width="18.7109375" style="4" customWidth="1"/>
    <col min="7458" max="7458" width="28.140625" style="4" customWidth="1"/>
    <col min="7459" max="7459" width="11.42578125" style="4"/>
    <col min="7460" max="7460" width="19.5703125" style="4" customWidth="1"/>
    <col min="7461" max="7461" width="36.42578125" style="4" customWidth="1"/>
    <col min="7462" max="7462" width="46.7109375" style="4" customWidth="1"/>
    <col min="7463" max="7463" width="28" style="4" customWidth="1"/>
    <col min="7464" max="7464" width="16.42578125" style="4" customWidth="1"/>
    <col min="7465" max="7465" width="12.42578125" style="4" customWidth="1"/>
    <col min="7466" max="7477" width="11.42578125" style="4"/>
    <col min="7478" max="7478" width="13" style="4" customWidth="1"/>
    <col min="7479" max="7479" width="14.7109375" style="4" customWidth="1"/>
    <col min="7480" max="7480" width="34.28515625" style="4" customWidth="1"/>
    <col min="7481" max="7703" width="11.42578125" style="4"/>
    <col min="7704" max="7704" width="14.140625" style="4" customWidth="1"/>
    <col min="7705" max="7705" width="11.42578125" style="4"/>
    <col min="7706" max="7706" width="14.140625" style="4" customWidth="1"/>
    <col min="7707" max="7707" width="11.42578125" style="4"/>
    <col min="7708" max="7708" width="14.28515625" style="4" customWidth="1"/>
    <col min="7709" max="7709" width="11.42578125" style="4"/>
    <col min="7710" max="7710" width="30" style="4" customWidth="1"/>
    <col min="7711" max="7711" width="29.42578125" style="4" customWidth="1"/>
    <col min="7712" max="7712" width="11.42578125" style="4"/>
    <col min="7713" max="7713" width="18.7109375" style="4" customWidth="1"/>
    <col min="7714" max="7714" width="28.140625" style="4" customWidth="1"/>
    <col min="7715" max="7715" width="11.42578125" style="4"/>
    <col min="7716" max="7716" width="19.5703125" style="4" customWidth="1"/>
    <col min="7717" max="7717" width="36.42578125" style="4" customWidth="1"/>
    <col min="7718" max="7718" width="46.7109375" style="4" customWidth="1"/>
    <col min="7719" max="7719" width="28" style="4" customWidth="1"/>
    <col min="7720" max="7720" width="16.42578125" style="4" customWidth="1"/>
    <col min="7721" max="7721" width="12.42578125" style="4" customWidth="1"/>
    <col min="7722" max="7733" width="11.42578125" style="4"/>
    <col min="7734" max="7734" width="13" style="4" customWidth="1"/>
    <col min="7735" max="7735" width="14.7109375" style="4" customWidth="1"/>
    <col min="7736" max="7736" width="34.28515625" style="4" customWidth="1"/>
    <col min="7737" max="7959" width="11.42578125" style="4"/>
    <col min="7960" max="7960" width="14.140625" style="4" customWidth="1"/>
    <col min="7961" max="7961" width="11.42578125" style="4"/>
    <col min="7962" max="7962" width="14.140625" style="4" customWidth="1"/>
    <col min="7963" max="7963" width="11.42578125" style="4"/>
    <col min="7964" max="7964" width="14.28515625" style="4" customWidth="1"/>
    <col min="7965" max="7965" width="11.42578125" style="4"/>
    <col min="7966" max="7966" width="30" style="4" customWidth="1"/>
    <col min="7967" max="7967" width="29.42578125" style="4" customWidth="1"/>
    <col min="7968" max="7968" width="11.42578125" style="4"/>
    <col min="7969" max="7969" width="18.7109375" style="4" customWidth="1"/>
    <col min="7970" max="7970" width="28.140625" style="4" customWidth="1"/>
    <col min="7971" max="7971" width="11.42578125" style="4"/>
    <col min="7972" max="7972" width="19.5703125" style="4" customWidth="1"/>
    <col min="7973" max="7973" width="36.42578125" style="4" customWidth="1"/>
    <col min="7974" max="7974" width="46.7109375" style="4" customWidth="1"/>
    <col min="7975" max="7975" width="28" style="4" customWidth="1"/>
    <col min="7976" max="7976" width="16.42578125" style="4" customWidth="1"/>
    <col min="7977" max="7977" width="12.42578125" style="4" customWidth="1"/>
    <col min="7978" max="7989" width="11.42578125" style="4"/>
    <col min="7990" max="7990" width="13" style="4" customWidth="1"/>
    <col min="7991" max="7991" width="14.7109375" style="4" customWidth="1"/>
    <col min="7992" max="7992" width="34.28515625" style="4" customWidth="1"/>
    <col min="7993" max="8215" width="11.42578125" style="4"/>
    <col min="8216" max="8216" width="14.140625" style="4" customWidth="1"/>
    <col min="8217" max="8217" width="11.42578125" style="4"/>
    <col min="8218" max="8218" width="14.140625" style="4" customWidth="1"/>
    <col min="8219" max="8219" width="11.42578125" style="4"/>
    <col min="8220" max="8220" width="14.28515625" style="4" customWidth="1"/>
    <col min="8221" max="8221" width="11.42578125" style="4"/>
    <col min="8222" max="8222" width="30" style="4" customWidth="1"/>
    <col min="8223" max="8223" width="29.42578125" style="4" customWidth="1"/>
    <col min="8224" max="8224" width="11.42578125" style="4"/>
    <col min="8225" max="8225" width="18.7109375" style="4" customWidth="1"/>
    <col min="8226" max="8226" width="28.140625" style="4" customWidth="1"/>
    <col min="8227" max="8227" width="11.42578125" style="4"/>
    <col min="8228" max="8228" width="19.5703125" style="4" customWidth="1"/>
    <col min="8229" max="8229" width="36.42578125" style="4" customWidth="1"/>
    <col min="8230" max="8230" width="46.7109375" style="4" customWidth="1"/>
    <col min="8231" max="8231" width="28" style="4" customWidth="1"/>
    <col min="8232" max="8232" width="16.42578125" style="4" customWidth="1"/>
    <col min="8233" max="8233" width="12.42578125" style="4" customWidth="1"/>
    <col min="8234" max="8245" width="11.42578125" style="4"/>
    <col min="8246" max="8246" width="13" style="4" customWidth="1"/>
    <col min="8247" max="8247" width="14.7109375" style="4" customWidth="1"/>
    <col min="8248" max="8248" width="34.28515625" style="4" customWidth="1"/>
    <col min="8249" max="8471" width="11.42578125" style="4"/>
    <col min="8472" max="8472" width="14.140625" style="4" customWidth="1"/>
    <col min="8473" max="8473" width="11.42578125" style="4"/>
    <col min="8474" max="8474" width="14.140625" style="4" customWidth="1"/>
    <col min="8475" max="8475" width="11.42578125" style="4"/>
    <col min="8476" max="8476" width="14.28515625" style="4" customWidth="1"/>
    <col min="8477" max="8477" width="11.42578125" style="4"/>
    <col min="8478" max="8478" width="30" style="4" customWidth="1"/>
    <col min="8479" max="8479" width="29.42578125" style="4" customWidth="1"/>
    <col min="8480" max="8480" width="11.42578125" style="4"/>
    <col min="8481" max="8481" width="18.7109375" style="4" customWidth="1"/>
    <col min="8482" max="8482" width="28.140625" style="4" customWidth="1"/>
    <col min="8483" max="8483" width="11.42578125" style="4"/>
    <col min="8484" max="8484" width="19.5703125" style="4" customWidth="1"/>
    <col min="8485" max="8485" width="36.42578125" style="4" customWidth="1"/>
    <col min="8486" max="8486" width="46.7109375" style="4" customWidth="1"/>
    <col min="8487" max="8487" width="28" style="4" customWidth="1"/>
    <col min="8488" max="8488" width="16.42578125" style="4" customWidth="1"/>
    <col min="8489" max="8489" width="12.42578125" style="4" customWidth="1"/>
    <col min="8490" max="8501" width="11.42578125" style="4"/>
    <col min="8502" max="8502" width="13" style="4" customWidth="1"/>
    <col min="8503" max="8503" width="14.7109375" style="4" customWidth="1"/>
    <col min="8504" max="8504" width="34.28515625" style="4" customWidth="1"/>
    <col min="8505" max="8727" width="11.42578125" style="4"/>
    <col min="8728" max="8728" width="14.140625" style="4" customWidth="1"/>
    <col min="8729" max="8729" width="11.42578125" style="4"/>
    <col min="8730" max="8730" width="14.140625" style="4" customWidth="1"/>
    <col min="8731" max="8731" width="11.42578125" style="4"/>
    <col min="8732" max="8732" width="14.28515625" style="4" customWidth="1"/>
    <col min="8733" max="8733" width="11.42578125" style="4"/>
    <col min="8734" max="8734" width="30" style="4" customWidth="1"/>
    <col min="8735" max="8735" width="29.42578125" style="4" customWidth="1"/>
    <col min="8736" max="8736" width="11.42578125" style="4"/>
    <col min="8737" max="8737" width="18.7109375" style="4" customWidth="1"/>
    <col min="8738" max="8738" width="28.140625" style="4" customWidth="1"/>
    <col min="8739" max="8739" width="11.42578125" style="4"/>
    <col min="8740" max="8740" width="19.5703125" style="4" customWidth="1"/>
    <col min="8741" max="8741" width="36.42578125" style="4" customWidth="1"/>
    <col min="8742" max="8742" width="46.7109375" style="4" customWidth="1"/>
    <col min="8743" max="8743" width="28" style="4" customWidth="1"/>
    <col min="8744" max="8744" width="16.42578125" style="4" customWidth="1"/>
    <col min="8745" max="8745" width="12.42578125" style="4" customWidth="1"/>
    <col min="8746" max="8757" width="11.42578125" style="4"/>
    <col min="8758" max="8758" width="13" style="4" customWidth="1"/>
    <col min="8759" max="8759" width="14.7109375" style="4" customWidth="1"/>
    <col min="8760" max="8760" width="34.28515625" style="4" customWidth="1"/>
    <col min="8761" max="8983" width="11.42578125" style="4"/>
    <col min="8984" max="8984" width="14.140625" style="4" customWidth="1"/>
    <col min="8985" max="8985" width="11.42578125" style="4"/>
    <col min="8986" max="8986" width="14.140625" style="4" customWidth="1"/>
    <col min="8987" max="8987" width="11.42578125" style="4"/>
    <col min="8988" max="8988" width="14.28515625" style="4" customWidth="1"/>
    <col min="8989" max="8989" width="11.42578125" style="4"/>
    <col min="8990" max="8990" width="30" style="4" customWidth="1"/>
    <col min="8991" max="8991" width="29.42578125" style="4" customWidth="1"/>
    <col min="8992" max="8992" width="11.42578125" style="4"/>
    <col min="8993" max="8993" width="18.7109375" style="4" customWidth="1"/>
    <col min="8994" max="8994" width="28.140625" style="4" customWidth="1"/>
    <col min="8995" max="8995" width="11.42578125" style="4"/>
    <col min="8996" max="8996" width="19.5703125" style="4" customWidth="1"/>
    <col min="8997" max="8997" width="36.42578125" style="4" customWidth="1"/>
    <col min="8998" max="8998" width="46.7109375" style="4" customWidth="1"/>
    <col min="8999" max="8999" width="28" style="4" customWidth="1"/>
    <col min="9000" max="9000" width="16.42578125" style="4" customWidth="1"/>
    <col min="9001" max="9001" width="12.42578125" style="4" customWidth="1"/>
    <col min="9002" max="9013" width="11.42578125" style="4"/>
    <col min="9014" max="9014" width="13" style="4" customWidth="1"/>
    <col min="9015" max="9015" width="14.7109375" style="4" customWidth="1"/>
    <col min="9016" max="9016" width="34.28515625" style="4" customWidth="1"/>
    <col min="9017" max="9239" width="11.42578125" style="4"/>
    <col min="9240" max="9240" width="14.140625" style="4" customWidth="1"/>
    <col min="9241" max="9241" width="11.42578125" style="4"/>
    <col min="9242" max="9242" width="14.140625" style="4" customWidth="1"/>
    <col min="9243" max="9243" width="11.42578125" style="4"/>
    <col min="9244" max="9244" width="14.28515625" style="4" customWidth="1"/>
    <col min="9245" max="9245" width="11.42578125" style="4"/>
    <col min="9246" max="9246" width="30" style="4" customWidth="1"/>
    <col min="9247" max="9247" width="29.42578125" style="4" customWidth="1"/>
    <col min="9248" max="9248" width="11.42578125" style="4"/>
    <col min="9249" max="9249" width="18.7109375" style="4" customWidth="1"/>
    <col min="9250" max="9250" width="28.140625" style="4" customWidth="1"/>
    <col min="9251" max="9251" width="11.42578125" style="4"/>
    <col min="9252" max="9252" width="19.5703125" style="4" customWidth="1"/>
    <col min="9253" max="9253" width="36.42578125" style="4" customWidth="1"/>
    <col min="9254" max="9254" width="46.7109375" style="4" customWidth="1"/>
    <col min="9255" max="9255" width="28" style="4" customWidth="1"/>
    <col min="9256" max="9256" width="16.42578125" style="4" customWidth="1"/>
    <col min="9257" max="9257" width="12.42578125" style="4" customWidth="1"/>
    <col min="9258" max="9269" width="11.42578125" style="4"/>
    <col min="9270" max="9270" width="13" style="4" customWidth="1"/>
    <col min="9271" max="9271" width="14.7109375" style="4" customWidth="1"/>
    <col min="9272" max="9272" width="34.28515625" style="4" customWidth="1"/>
    <col min="9273" max="9495" width="11.42578125" style="4"/>
    <col min="9496" max="9496" width="14.140625" style="4" customWidth="1"/>
    <col min="9497" max="9497" width="11.42578125" style="4"/>
    <col min="9498" max="9498" width="14.140625" style="4" customWidth="1"/>
    <col min="9499" max="9499" width="11.42578125" style="4"/>
    <col min="9500" max="9500" width="14.28515625" style="4" customWidth="1"/>
    <col min="9501" max="9501" width="11.42578125" style="4"/>
    <col min="9502" max="9502" width="30" style="4" customWidth="1"/>
    <col min="9503" max="9503" width="29.42578125" style="4" customWidth="1"/>
    <col min="9504" max="9504" width="11.42578125" style="4"/>
    <col min="9505" max="9505" width="18.7109375" style="4" customWidth="1"/>
    <col min="9506" max="9506" width="28.140625" style="4" customWidth="1"/>
    <col min="9507" max="9507" width="11.42578125" style="4"/>
    <col min="9508" max="9508" width="19.5703125" style="4" customWidth="1"/>
    <col min="9509" max="9509" width="36.42578125" style="4" customWidth="1"/>
    <col min="9510" max="9510" width="46.7109375" style="4" customWidth="1"/>
    <col min="9511" max="9511" width="28" style="4" customWidth="1"/>
    <col min="9512" max="9512" width="16.42578125" style="4" customWidth="1"/>
    <col min="9513" max="9513" width="12.42578125" style="4" customWidth="1"/>
    <col min="9514" max="9525" width="11.42578125" style="4"/>
    <col min="9526" max="9526" width="13" style="4" customWidth="1"/>
    <col min="9527" max="9527" width="14.7109375" style="4" customWidth="1"/>
    <col min="9528" max="9528" width="34.28515625" style="4" customWidth="1"/>
    <col min="9529" max="9751" width="11.42578125" style="4"/>
    <col min="9752" max="9752" width="14.140625" style="4" customWidth="1"/>
    <col min="9753" max="9753" width="11.42578125" style="4"/>
    <col min="9754" max="9754" width="14.140625" style="4" customWidth="1"/>
    <col min="9755" max="9755" width="11.42578125" style="4"/>
    <col min="9756" max="9756" width="14.28515625" style="4" customWidth="1"/>
    <col min="9757" max="9757" width="11.42578125" style="4"/>
    <col min="9758" max="9758" width="30" style="4" customWidth="1"/>
    <col min="9759" max="9759" width="29.42578125" style="4" customWidth="1"/>
    <col min="9760" max="9760" width="11.42578125" style="4"/>
    <col min="9761" max="9761" width="18.7109375" style="4" customWidth="1"/>
    <col min="9762" max="9762" width="28.140625" style="4" customWidth="1"/>
    <col min="9763" max="9763" width="11.42578125" style="4"/>
    <col min="9764" max="9764" width="19.5703125" style="4" customWidth="1"/>
    <col min="9765" max="9765" width="36.42578125" style="4" customWidth="1"/>
    <col min="9766" max="9766" width="46.7109375" style="4" customWidth="1"/>
    <col min="9767" max="9767" width="28" style="4" customWidth="1"/>
    <col min="9768" max="9768" width="16.42578125" style="4" customWidth="1"/>
    <col min="9769" max="9769" width="12.42578125" style="4" customWidth="1"/>
    <col min="9770" max="9781" width="11.42578125" style="4"/>
    <col min="9782" max="9782" width="13" style="4" customWidth="1"/>
    <col min="9783" max="9783" width="14.7109375" style="4" customWidth="1"/>
    <col min="9784" max="9784" width="34.28515625" style="4" customWidth="1"/>
    <col min="9785" max="10007" width="11.42578125" style="4"/>
    <col min="10008" max="10008" width="14.140625" style="4" customWidth="1"/>
    <col min="10009" max="10009" width="11.42578125" style="4"/>
    <col min="10010" max="10010" width="14.140625" style="4" customWidth="1"/>
    <col min="10011" max="10011" width="11.42578125" style="4"/>
    <col min="10012" max="10012" width="14.28515625" style="4" customWidth="1"/>
    <col min="10013" max="10013" width="11.42578125" style="4"/>
    <col min="10014" max="10014" width="30" style="4" customWidth="1"/>
    <col min="10015" max="10015" width="29.42578125" style="4" customWidth="1"/>
    <col min="10016" max="10016" width="11.42578125" style="4"/>
    <col min="10017" max="10017" width="18.7109375" style="4" customWidth="1"/>
    <col min="10018" max="10018" width="28.140625" style="4" customWidth="1"/>
    <col min="10019" max="10019" width="11.42578125" style="4"/>
    <col min="10020" max="10020" width="19.5703125" style="4" customWidth="1"/>
    <col min="10021" max="10021" width="36.42578125" style="4" customWidth="1"/>
    <col min="10022" max="10022" width="46.7109375" style="4" customWidth="1"/>
    <col min="10023" max="10023" width="28" style="4" customWidth="1"/>
    <col min="10024" max="10024" width="16.42578125" style="4" customWidth="1"/>
    <col min="10025" max="10025" width="12.42578125" style="4" customWidth="1"/>
    <col min="10026" max="10037" width="11.42578125" style="4"/>
    <col min="10038" max="10038" width="13" style="4" customWidth="1"/>
    <col min="10039" max="10039" width="14.7109375" style="4" customWidth="1"/>
    <col min="10040" max="10040" width="34.28515625" style="4" customWidth="1"/>
    <col min="10041" max="10263" width="11.42578125" style="4"/>
    <col min="10264" max="10264" width="14.140625" style="4" customWidth="1"/>
    <col min="10265" max="10265" width="11.42578125" style="4"/>
    <col min="10266" max="10266" width="14.140625" style="4" customWidth="1"/>
    <col min="10267" max="10267" width="11.42578125" style="4"/>
    <col min="10268" max="10268" width="14.28515625" style="4" customWidth="1"/>
    <col min="10269" max="10269" width="11.42578125" style="4"/>
    <col min="10270" max="10270" width="30" style="4" customWidth="1"/>
    <col min="10271" max="10271" width="29.42578125" style="4" customWidth="1"/>
    <col min="10272" max="10272" width="11.42578125" style="4"/>
    <col min="10273" max="10273" width="18.7109375" style="4" customWidth="1"/>
    <col min="10274" max="10274" width="28.140625" style="4" customWidth="1"/>
    <col min="10275" max="10275" width="11.42578125" style="4"/>
    <col min="10276" max="10276" width="19.5703125" style="4" customWidth="1"/>
    <col min="10277" max="10277" width="36.42578125" style="4" customWidth="1"/>
    <col min="10278" max="10278" width="46.7109375" style="4" customWidth="1"/>
    <col min="10279" max="10279" width="28" style="4" customWidth="1"/>
    <col min="10280" max="10280" width="16.42578125" style="4" customWidth="1"/>
    <col min="10281" max="10281" width="12.42578125" style="4" customWidth="1"/>
    <col min="10282" max="10293" width="11.42578125" style="4"/>
    <col min="10294" max="10294" width="13" style="4" customWidth="1"/>
    <col min="10295" max="10295" width="14.7109375" style="4" customWidth="1"/>
    <col min="10296" max="10296" width="34.28515625" style="4" customWidth="1"/>
    <col min="10297" max="10519" width="11.42578125" style="4"/>
    <col min="10520" max="10520" width="14.140625" style="4" customWidth="1"/>
    <col min="10521" max="10521" width="11.42578125" style="4"/>
    <col min="10522" max="10522" width="14.140625" style="4" customWidth="1"/>
    <col min="10523" max="10523" width="11.42578125" style="4"/>
    <col min="10524" max="10524" width="14.28515625" style="4" customWidth="1"/>
    <col min="10525" max="10525" width="11.42578125" style="4"/>
    <col min="10526" max="10526" width="30" style="4" customWidth="1"/>
    <col min="10527" max="10527" width="29.42578125" style="4" customWidth="1"/>
    <col min="10528" max="10528" width="11.42578125" style="4"/>
    <col min="10529" max="10529" width="18.7109375" style="4" customWidth="1"/>
    <col min="10530" max="10530" width="28.140625" style="4" customWidth="1"/>
    <col min="10531" max="10531" width="11.42578125" style="4"/>
    <col min="10532" max="10532" width="19.5703125" style="4" customWidth="1"/>
    <col min="10533" max="10533" width="36.42578125" style="4" customWidth="1"/>
    <col min="10534" max="10534" width="46.7109375" style="4" customWidth="1"/>
    <col min="10535" max="10535" width="28" style="4" customWidth="1"/>
    <col min="10536" max="10536" width="16.42578125" style="4" customWidth="1"/>
    <col min="10537" max="10537" width="12.42578125" style="4" customWidth="1"/>
    <col min="10538" max="10549" width="11.42578125" style="4"/>
    <col min="10550" max="10550" width="13" style="4" customWidth="1"/>
    <col min="10551" max="10551" width="14.7109375" style="4" customWidth="1"/>
    <col min="10552" max="10552" width="34.28515625" style="4" customWidth="1"/>
    <col min="10553" max="10775" width="11.42578125" style="4"/>
    <col min="10776" max="10776" width="14.140625" style="4" customWidth="1"/>
    <col min="10777" max="10777" width="11.42578125" style="4"/>
    <col min="10778" max="10778" width="14.140625" style="4" customWidth="1"/>
    <col min="10779" max="10779" width="11.42578125" style="4"/>
    <col min="10780" max="10780" width="14.28515625" style="4" customWidth="1"/>
    <col min="10781" max="10781" width="11.42578125" style="4"/>
    <col min="10782" max="10782" width="30" style="4" customWidth="1"/>
    <col min="10783" max="10783" width="29.42578125" style="4" customWidth="1"/>
    <col min="10784" max="10784" width="11.42578125" style="4"/>
    <col min="10785" max="10785" width="18.7109375" style="4" customWidth="1"/>
    <col min="10786" max="10786" width="28.140625" style="4" customWidth="1"/>
    <col min="10787" max="10787" width="11.42578125" style="4"/>
    <col min="10788" max="10788" width="19.5703125" style="4" customWidth="1"/>
    <col min="10789" max="10789" width="36.42578125" style="4" customWidth="1"/>
    <col min="10790" max="10790" width="46.7109375" style="4" customWidth="1"/>
    <col min="10791" max="10791" width="28" style="4" customWidth="1"/>
    <col min="10792" max="10792" width="16.42578125" style="4" customWidth="1"/>
    <col min="10793" max="10793" width="12.42578125" style="4" customWidth="1"/>
    <col min="10794" max="10805" width="11.42578125" style="4"/>
    <col min="10806" max="10806" width="13" style="4" customWidth="1"/>
    <col min="10807" max="10807" width="14.7109375" style="4" customWidth="1"/>
    <col min="10808" max="10808" width="34.28515625" style="4" customWidth="1"/>
    <col min="10809" max="11031" width="11.42578125" style="4"/>
    <col min="11032" max="11032" width="14.140625" style="4" customWidth="1"/>
    <col min="11033" max="11033" width="11.42578125" style="4"/>
    <col min="11034" max="11034" width="14.140625" style="4" customWidth="1"/>
    <col min="11035" max="11035" width="11.42578125" style="4"/>
    <col min="11036" max="11036" width="14.28515625" style="4" customWidth="1"/>
    <col min="11037" max="11037" width="11.42578125" style="4"/>
    <col min="11038" max="11038" width="30" style="4" customWidth="1"/>
    <col min="11039" max="11039" width="29.42578125" style="4" customWidth="1"/>
    <col min="11040" max="11040" width="11.42578125" style="4"/>
    <col min="11041" max="11041" width="18.7109375" style="4" customWidth="1"/>
    <col min="11042" max="11042" width="28.140625" style="4" customWidth="1"/>
    <col min="11043" max="11043" width="11.42578125" style="4"/>
    <col min="11044" max="11044" width="19.5703125" style="4" customWidth="1"/>
    <col min="11045" max="11045" width="36.42578125" style="4" customWidth="1"/>
    <col min="11046" max="11046" width="46.7109375" style="4" customWidth="1"/>
    <col min="11047" max="11047" width="28" style="4" customWidth="1"/>
    <col min="11048" max="11048" width="16.42578125" style="4" customWidth="1"/>
    <col min="11049" max="11049" width="12.42578125" style="4" customWidth="1"/>
    <col min="11050" max="11061" width="11.42578125" style="4"/>
    <col min="11062" max="11062" width="13" style="4" customWidth="1"/>
    <col min="11063" max="11063" width="14.7109375" style="4" customWidth="1"/>
    <col min="11064" max="11064" width="34.28515625" style="4" customWidth="1"/>
    <col min="11065" max="11287" width="11.42578125" style="4"/>
    <col min="11288" max="11288" width="14.140625" style="4" customWidth="1"/>
    <col min="11289" max="11289" width="11.42578125" style="4"/>
    <col min="11290" max="11290" width="14.140625" style="4" customWidth="1"/>
    <col min="11291" max="11291" width="11.42578125" style="4"/>
    <col min="11292" max="11292" width="14.28515625" style="4" customWidth="1"/>
    <col min="11293" max="11293" width="11.42578125" style="4"/>
    <col min="11294" max="11294" width="30" style="4" customWidth="1"/>
    <col min="11295" max="11295" width="29.42578125" style="4" customWidth="1"/>
    <col min="11296" max="11296" width="11.42578125" style="4"/>
    <col min="11297" max="11297" width="18.7109375" style="4" customWidth="1"/>
    <col min="11298" max="11298" width="28.140625" style="4" customWidth="1"/>
    <col min="11299" max="11299" width="11.42578125" style="4"/>
    <col min="11300" max="11300" width="19.5703125" style="4" customWidth="1"/>
    <col min="11301" max="11301" width="36.42578125" style="4" customWidth="1"/>
    <col min="11302" max="11302" width="46.7109375" style="4" customWidth="1"/>
    <col min="11303" max="11303" width="28" style="4" customWidth="1"/>
    <col min="11304" max="11304" width="16.42578125" style="4" customWidth="1"/>
    <col min="11305" max="11305" width="12.42578125" style="4" customWidth="1"/>
    <col min="11306" max="11317" width="11.42578125" style="4"/>
    <col min="11318" max="11318" width="13" style="4" customWidth="1"/>
    <col min="11319" max="11319" width="14.7109375" style="4" customWidth="1"/>
    <col min="11320" max="11320" width="34.28515625" style="4" customWidth="1"/>
    <col min="11321" max="11543" width="11.42578125" style="4"/>
    <col min="11544" max="11544" width="14.140625" style="4" customWidth="1"/>
    <col min="11545" max="11545" width="11.42578125" style="4"/>
    <col min="11546" max="11546" width="14.140625" style="4" customWidth="1"/>
    <col min="11547" max="11547" width="11.42578125" style="4"/>
    <col min="11548" max="11548" width="14.28515625" style="4" customWidth="1"/>
    <col min="11549" max="11549" width="11.42578125" style="4"/>
    <col min="11550" max="11550" width="30" style="4" customWidth="1"/>
    <col min="11551" max="11551" width="29.42578125" style="4" customWidth="1"/>
    <col min="11552" max="11552" width="11.42578125" style="4"/>
    <col min="11553" max="11553" width="18.7109375" style="4" customWidth="1"/>
    <col min="11554" max="11554" width="28.140625" style="4" customWidth="1"/>
    <col min="11555" max="11555" width="11.42578125" style="4"/>
    <col min="11556" max="11556" width="19.5703125" style="4" customWidth="1"/>
    <col min="11557" max="11557" width="36.42578125" style="4" customWidth="1"/>
    <col min="11558" max="11558" width="46.7109375" style="4" customWidth="1"/>
    <col min="11559" max="11559" width="28" style="4" customWidth="1"/>
    <col min="11560" max="11560" width="16.42578125" style="4" customWidth="1"/>
    <col min="11561" max="11561" width="12.42578125" style="4" customWidth="1"/>
    <col min="11562" max="11573" width="11.42578125" style="4"/>
    <col min="11574" max="11574" width="13" style="4" customWidth="1"/>
    <col min="11575" max="11575" width="14.7109375" style="4" customWidth="1"/>
    <col min="11576" max="11576" width="34.28515625" style="4" customWidth="1"/>
    <col min="11577" max="11799" width="11.42578125" style="4"/>
    <col min="11800" max="11800" width="14.140625" style="4" customWidth="1"/>
    <col min="11801" max="11801" width="11.42578125" style="4"/>
    <col min="11802" max="11802" width="14.140625" style="4" customWidth="1"/>
    <col min="11803" max="11803" width="11.42578125" style="4"/>
    <col min="11804" max="11804" width="14.28515625" style="4" customWidth="1"/>
    <col min="11805" max="11805" width="11.42578125" style="4"/>
    <col min="11806" max="11806" width="30" style="4" customWidth="1"/>
    <col min="11807" max="11807" width="29.42578125" style="4" customWidth="1"/>
    <col min="11808" max="11808" width="11.42578125" style="4"/>
    <col min="11809" max="11809" width="18.7109375" style="4" customWidth="1"/>
    <col min="11810" max="11810" width="28.140625" style="4" customWidth="1"/>
    <col min="11811" max="11811" width="11.42578125" style="4"/>
    <col min="11812" max="11812" width="19.5703125" style="4" customWidth="1"/>
    <col min="11813" max="11813" width="36.42578125" style="4" customWidth="1"/>
    <col min="11814" max="11814" width="46.7109375" style="4" customWidth="1"/>
    <col min="11815" max="11815" width="28" style="4" customWidth="1"/>
    <col min="11816" max="11816" width="16.42578125" style="4" customWidth="1"/>
    <col min="11817" max="11817" width="12.42578125" style="4" customWidth="1"/>
    <col min="11818" max="11829" width="11.42578125" style="4"/>
    <col min="11830" max="11830" width="13" style="4" customWidth="1"/>
    <col min="11831" max="11831" width="14.7109375" style="4" customWidth="1"/>
    <col min="11832" max="11832" width="34.28515625" style="4" customWidth="1"/>
    <col min="11833" max="12055" width="11.42578125" style="4"/>
    <col min="12056" max="12056" width="14.140625" style="4" customWidth="1"/>
    <col min="12057" max="12057" width="11.42578125" style="4"/>
    <col min="12058" max="12058" width="14.140625" style="4" customWidth="1"/>
    <col min="12059" max="12059" width="11.42578125" style="4"/>
    <col min="12060" max="12060" width="14.28515625" style="4" customWidth="1"/>
    <col min="12061" max="12061" width="11.42578125" style="4"/>
    <col min="12062" max="12062" width="30" style="4" customWidth="1"/>
    <col min="12063" max="12063" width="29.42578125" style="4" customWidth="1"/>
    <col min="12064" max="12064" width="11.42578125" style="4"/>
    <col min="12065" max="12065" width="18.7109375" style="4" customWidth="1"/>
    <col min="12066" max="12066" width="28.140625" style="4" customWidth="1"/>
    <col min="12067" max="12067" width="11.42578125" style="4"/>
    <col min="12068" max="12068" width="19.5703125" style="4" customWidth="1"/>
    <col min="12069" max="12069" width="36.42578125" style="4" customWidth="1"/>
    <col min="12070" max="12070" width="46.7109375" style="4" customWidth="1"/>
    <col min="12071" max="12071" width="28" style="4" customWidth="1"/>
    <col min="12072" max="12072" width="16.42578125" style="4" customWidth="1"/>
    <col min="12073" max="12073" width="12.42578125" style="4" customWidth="1"/>
    <col min="12074" max="12085" width="11.42578125" style="4"/>
    <col min="12086" max="12086" width="13" style="4" customWidth="1"/>
    <col min="12087" max="12087" width="14.7109375" style="4" customWidth="1"/>
    <col min="12088" max="12088" width="34.28515625" style="4" customWidth="1"/>
    <col min="12089" max="12311" width="11.42578125" style="4"/>
    <col min="12312" max="12312" width="14.140625" style="4" customWidth="1"/>
    <col min="12313" max="12313" width="11.42578125" style="4"/>
    <col min="12314" max="12314" width="14.140625" style="4" customWidth="1"/>
    <col min="12315" max="12315" width="11.42578125" style="4"/>
    <col min="12316" max="12316" width="14.28515625" style="4" customWidth="1"/>
    <col min="12317" max="12317" width="11.42578125" style="4"/>
    <col min="12318" max="12318" width="30" style="4" customWidth="1"/>
    <col min="12319" max="12319" width="29.42578125" style="4" customWidth="1"/>
    <col min="12320" max="12320" width="11.42578125" style="4"/>
    <col min="12321" max="12321" width="18.7109375" style="4" customWidth="1"/>
    <col min="12322" max="12322" width="28.140625" style="4" customWidth="1"/>
    <col min="12323" max="12323" width="11.42578125" style="4"/>
    <col min="12324" max="12324" width="19.5703125" style="4" customWidth="1"/>
    <col min="12325" max="12325" width="36.42578125" style="4" customWidth="1"/>
    <col min="12326" max="12326" width="46.7109375" style="4" customWidth="1"/>
    <col min="12327" max="12327" width="28" style="4" customWidth="1"/>
    <col min="12328" max="12328" width="16.42578125" style="4" customWidth="1"/>
    <col min="12329" max="12329" width="12.42578125" style="4" customWidth="1"/>
    <col min="12330" max="12341" width="11.42578125" style="4"/>
    <col min="12342" max="12342" width="13" style="4" customWidth="1"/>
    <col min="12343" max="12343" width="14.7109375" style="4" customWidth="1"/>
    <col min="12344" max="12344" width="34.28515625" style="4" customWidth="1"/>
    <col min="12345" max="12567" width="11.42578125" style="4"/>
    <col min="12568" max="12568" width="14.140625" style="4" customWidth="1"/>
    <col min="12569" max="12569" width="11.42578125" style="4"/>
    <col min="12570" max="12570" width="14.140625" style="4" customWidth="1"/>
    <col min="12571" max="12571" width="11.42578125" style="4"/>
    <col min="12572" max="12572" width="14.28515625" style="4" customWidth="1"/>
    <col min="12573" max="12573" width="11.42578125" style="4"/>
    <col min="12574" max="12574" width="30" style="4" customWidth="1"/>
    <col min="12575" max="12575" width="29.42578125" style="4" customWidth="1"/>
    <col min="12576" max="12576" width="11.42578125" style="4"/>
    <col min="12577" max="12577" width="18.7109375" style="4" customWidth="1"/>
    <col min="12578" max="12578" width="28.140625" style="4" customWidth="1"/>
    <col min="12579" max="12579" width="11.42578125" style="4"/>
    <col min="12580" max="12580" width="19.5703125" style="4" customWidth="1"/>
    <col min="12581" max="12581" width="36.42578125" style="4" customWidth="1"/>
    <col min="12582" max="12582" width="46.7109375" style="4" customWidth="1"/>
    <col min="12583" max="12583" width="28" style="4" customWidth="1"/>
    <col min="12584" max="12584" width="16.42578125" style="4" customWidth="1"/>
    <col min="12585" max="12585" width="12.42578125" style="4" customWidth="1"/>
    <col min="12586" max="12597" width="11.42578125" style="4"/>
    <col min="12598" max="12598" width="13" style="4" customWidth="1"/>
    <col min="12599" max="12599" width="14.7109375" style="4" customWidth="1"/>
    <col min="12600" max="12600" width="34.28515625" style="4" customWidth="1"/>
    <col min="12601" max="12823" width="11.42578125" style="4"/>
    <col min="12824" max="12824" width="14.140625" style="4" customWidth="1"/>
    <col min="12825" max="12825" width="11.42578125" style="4"/>
    <col min="12826" max="12826" width="14.140625" style="4" customWidth="1"/>
    <col min="12827" max="12827" width="11.42578125" style="4"/>
    <col min="12828" max="12828" width="14.28515625" style="4" customWidth="1"/>
    <col min="12829" max="12829" width="11.42578125" style="4"/>
    <col min="12830" max="12830" width="30" style="4" customWidth="1"/>
    <col min="12831" max="12831" width="29.42578125" style="4" customWidth="1"/>
    <col min="12832" max="12832" width="11.42578125" style="4"/>
    <col min="12833" max="12833" width="18.7109375" style="4" customWidth="1"/>
    <col min="12834" max="12834" width="28.140625" style="4" customWidth="1"/>
    <col min="12835" max="12835" width="11.42578125" style="4"/>
    <col min="12836" max="12836" width="19.5703125" style="4" customWidth="1"/>
    <col min="12837" max="12837" width="36.42578125" style="4" customWidth="1"/>
    <col min="12838" max="12838" width="46.7109375" style="4" customWidth="1"/>
    <col min="12839" max="12839" width="28" style="4" customWidth="1"/>
    <col min="12840" max="12840" width="16.42578125" style="4" customWidth="1"/>
    <col min="12841" max="12841" width="12.42578125" style="4" customWidth="1"/>
    <col min="12842" max="12853" width="11.42578125" style="4"/>
    <col min="12854" max="12854" width="13" style="4" customWidth="1"/>
    <col min="12855" max="12855" width="14.7109375" style="4" customWidth="1"/>
    <col min="12856" max="12856" width="34.28515625" style="4" customWidth="1"/>
    <col min="12857" max="13079" width="11.42578125" style="4"/>
    <col min="13080" max="13080" width="14.140625" style="4" customWidth="1"/>
    <col min="13081" max="13081" width="11.42578125" style="4"/>
    <col min="13082" max="13082" width="14.140625" style="4" customWidth="1"/>
    <col min="13083" max="13083" width="11.42578125" style="4"/>
    <col min="13084" max="13084" width="14.28515625" style="4" customWidth="1"/>
    <col min="13085" max="13085" width="11.42578125" style="4"/>
    <col min="13086" max="13086" width="30" style="4" customWidth="1"/>
    <col min="13087" max="13087" width="29.42578125" style="4" customWidth="1"/>
    <col min="13088" max="13088" width="11.42578125" style="4"/>
    <col min="13089" max="13089" width="18.7109375" style="4" customWidth="1"/>
    <col min="13090" max="13090" width="28.140625" style="4" customWidth="1"/>
    <col min="13091" max="13091" width="11.42578125" style="4"/>
    <col min="13092" max="13092" width="19.5703125" style="4" customWidth="1"/>
    <col min="13093" max="13093" width="36.42578125" style="4" customWidth="1"/>
    <col min="13094" max="13094" width="46.7109375" style="4" customWidth="1"/>
    <col min="13095" max="13095" width="28" style="4" customWidth="1"/>
    <col min="13096" max="13096" width="16.42578125" style="4" customWidth="1"/>
    <col min="13097" max="13097" width="12.42578125" style="4" customWidth="1"/>
    <col min="13098" max="13109" width="11.42578125" style="4"/>
    <col min="13110" max="13110" width="13" style="4" customWidth="1"/>
    <col min="13111" max="13111" width="14.7109375" style="4" customWidth="1"/>
    <col min="13112" max="13112" width="34.28515625" style="4" customWidth="1"/>
    <col min="13113" max="13335" width="11.42578125" style="4"/>
    <col min="13336" max="13336" width="14.140625" style="4" customWidth="1"/>
    <col min="13337" max="13337" width="11.42578125" style="4"/>
    <col min="13338" max="13338" width="14.140625" style="4" customWidth="1"/>
    <col min="13339" max="13339" width="11.42578125" style="4"/>
    <col min="13340" max="13340" width="14.28515625" style="4" customWidth="1"/>
    <col min="13341" max="13341" width="11.42578125" style="4"/>
    <col min="13342" max="13342" width="30" style="4" customWidth="1"/>
    <col min="13343" max="13343" width="29.42578125" style="4" customWidth="1"/>
    <col min="13344" max="13344" width="11.42578125" style="4"/>
    <col min="13345" max="13345" width="18.7109375" style="4" customWidth="1"/>
    <col min="13346" max="13346" width="28.140625" style="4" customWidth="1"/>
    <col min="13347" max="13347" width="11.42578125" style="4"/>
    <col min="13348" max="13348" width="19.5703125" style="4" customWidth="1"/>
    <col min="13349" max="13349" width="36.42578125" style="4" customWidth="1"/>
    <col min="13350" max="13350" width="46.7109375" style="4" customWidth="1"/>
    <col min="13351" max="13351" width="28" style="4" customWidth="1"/>
    <col min="13352" max="13352" width="16.42578125" style="4" customWidth="1"/>
    <col min="13353" max="13353" width="12.42578125" style="4" customWidth="1"/>
    <col min="13354" max="13365" width="11.42578125" style="4"/>
    <col min="13366" max="13366" width="13" style="4" customWidth="1"/>
    <col min="13367" max="13367" width="14.7109375" style="4" customWidth="1"/>
    <col min="13368" max="13368" width="34.28515625" style="4" customWidth="1"/>
    <col min="13369" max="13591" width="11.42578125" style="4"/>
    <col min="13592" max="13592" width="14.140625" style="4" customWidth="1"/>
    <col min="13593" max="13593" width="11.42578125" style="4"/>
    <col min="13594" max="13594" width="14.140625" style="4" customWidth="1"/>
    <col min="13595" max="13595" width="11.42578125" style="4"/>
    <col min="13596" max="13596" width="14.28515625" style="4" customWidth="1"/>
    <col min="13597" max="13597" width="11.42578125" style="4"/>
    <col min="13598" max="13598" width="30" style="4" customWidth="1"/>
    <col min="13599" max="13599" width="29.42578125" style="4" customWidth="1"/>
    <col min="13600" max="13600" width="11.42578125" style="4"/>
    <col min="13601" max="13601" width="18.7109375" style="4" customWidth="1"/>
    <col min="13602" max="13602" width="28.140625" style="4" customWidth="1"/>
    <col min="13603" max="13603" width="11.42578125" style="4"/>
    <col min="13604" max="13604" width="19.5703125" style="4" customWidth="1"/>
    <col min="13605" max="13605" width="36.42578125" style="4" customWidth="1"/>
    <col min="13606" max="13606" width="46.7109375" style="4" customWidth="1"/>
    <col min="13607" max="13607" width="28" style="4" customWidth="1"/>
    <col min="13608" max="13608" width="16.42578125" style="4" customWidth="1"/>
    <col min="13609" max="13609" width="12.42578125" style="4" customWidth="1"/>
    <col min="13610" max="13621" width="11.42578125" style="4"/>
    <col min="13622" max="13622" width="13" style="4" customWidth="1"/>
    <col min="13623" max="13623" width="14.7109375" style="4" customWidth="1"/>
    <col min="13624" max="13624" width="34.28515625" style="4" customWidth="1"/>
    <col min="13625" max="13847" width="11.42578125" style="4"/>
    <col min="13848" max="13848" width="14.140625" style="4" customWidth="1"/>
    <col min="13849" max="13849" width="11.42578125" style="4"/>
    <col min="13850" max="13850" width="14.140625" style="4" customWidth="1"/>
    <col min="13851" max="13851" width="11.42578125" style="4"/>
    <col min="13852" max="13852" width="14.28515625" style="4" customWidth="1"/>
    <col min="13853" max="13853" width="11.42578125" style="4"/>
    <col min="13854" max="13854" width="30" style="4" customWidth="1"/>
    <col min="13855" max="13855" width="29.42578125" style="4" customWidth="1"/>
    <col min="13856" max="13856" width="11.42578125" style="4"/>
    <col min="13857" max="13857" width="18.7109375" style="4" customWidth="1"/>
    <col min="13858" max="13858" width="28.140625" style="4" customWidth="1"/>
    <col min="13859" max="13859" width="11.42578125" style="4"/>
    <col min="13860" max="13860" width="19.5703125" style="4" customWidth="1"/>
    <col min="13861" max="13861" width="36.42578125" style="4" customWidth="1"/>
    <col min="13862" max="13862" width="46.7109375" style="4" customWidth="1"/>
    <col min="13863" max="13863" width="28" style="4" customWidth="1"/>
    <col min="13864" max="13864" width="16.42578125" style="4" customWidth="1"/>
    <col min="13865" max="13865" width="12.42578125" style="4" customWidth="1"/>
    <col min="13866" max="13877" width="11.42578125" style="4"/>
    <col min="13878" max="13878" width="13" style="4" customWidth="1"/>
    <col min="13879" max="13879" width="14.7109375" style="4" customWidth="1"/>
    <col min="13880" max="13880" width="34.28515625" style="4" customWidth="1"/>
    <col min="13881" max="14103" width="11.42578125" style="4"/>
    <col min="14104" max="14104" width="14.140625" style="4" customWidth="1"/>
    <col min="14105" max="14105" width="11.42578125" style="4"/>
    <col min="14106" max="14106" width="14.140625" style="4" customWidth="1"/>
    <col min="14107" max="14107" width="11.42578125" style="4"/>
    <col min="14108" max="14108" width="14.28515625" style="4" customWidth="1"/>
    <col min="14109" max="14109" width="11.42578125" style="4"/>
    <col min="14110" max="14110" width="30" style="4" customWidth="1"/>
    <col min="14111" max="14111" width="29.42578125" style="4" customWidth="1"/>
    <col min="14112" max="14112" width="11.42578125" style="4"/>
    <col min="14113" max="14113" width="18.7109375" style="4" customWidth="1"/>
    <col min="14114" max="14114" width="28.140625" style="4" customWidth="1"/>
    <col min="14115" max="14115" width="11.42578125" style="4"/>
    <col min="14116" max="14116" width="19.5703125" style="4" customWidth="1"/>
    <col min="14117" max="14117" width="36.42578125" style="4" customWidth="1"/>
    <col min="14118" max="14118" width="46.7109375" style="4" customWidth="1"/>
    <col min="14119" max="14119" width="28" style="4" customWidth="1"/>
    <col min="14120" max="14120" width="16.42578125" style="4" customWidth="1"/>
    <col min="14121" max="14121" width="12.42578125" style="4" customWidth="1"/>
    <col min="14122" max="14133" width="11.42578125" style="4"/>
    <col min="14134" max="14134" width="13" style="4" customWidth="1"/>
    <col min="14135" max="14135" width="14.7109375" style="4" customWidth="1"/>
    <col min="14136" max="14136" width="34.28515625" style="4" customWidth="1"/>
    <col min="14137" max="14359" width="11.42578125" style="4"/>
    <col min="14360" max="14360" width="14.140625" style="4" customWidth="1"/>
    <col min="14361" max="14361" width="11.42578125" style="4"/>
    <col min="14362" max="14362" width="14.140625" style="4" customWidth="1"/>
    <col min="14363" max="14363" width="11.42578125" style="4"/>
    <col min="14364" max="14364" width="14.28515625" style="4" customWidth="1"/>
    <col min="14365" max="14365" width="11.42578125" style="4"/>
    <col min="14366" max="14366" width="30" style="4" customWidth="1"/>
    <col min="14367" max="14367" width="29.42578125" style="4" customWidth="1"/>
    <col min="14368" max="14368" width="11.42578125" style="4"/>
    <col min="14369" max="14369" width="18.7109375" style="4" customWidth="1"/>
    <col min="14370" max="14370" width="28.140625" style="4" customWidth="1"/>
    <col min="14371" max="14371" width="11.42578125" style="4"/>
    <col min="14372" max="14372" width="19.5703125" style="4" customWidth="1"/>
    <col min="14373" max="14373" width="36.42578125" style="4" customWidth="1"/>
    <col min="14374" max="14374" width="46.7109375" style="4" customWidth="1"/>
    <col min="14375" max="14375" width="28" style="4" customWidth="1"/>
    <col min="14376" max="14376" width="16.42578125" style="4" customWidth="1"/>
    <col min="14377" max="14377" width="12.42578125" style="4" customWidth="1"/>
    <col min="14378" max="14389" width="11.42578125" style="4"/>
    <col min="14390" max="14390" width="13" style="4" customWidth="1"/>
    <col min="14391" max="14391" width="14.7109375" style="4" customWidth="1"/>
    <col min="14392" max="14392" width="34.28515625" style="4" customWidth="1"/>
    <col min="14393" max="14615" width="11.42578125" style="4"/>
    <col min="14616" max="14616" width="14.140625" style="4" customWidth="1"/>
    <col min="14617" max="14617" width="11.42578125" style="4"/>
    <col min="14618" max="14618" width="14.140625" style="4" customWidth="1"/>
    <col min="14619" max="14619" width="11.42578125" style="4"/>
    <col min="14620" max="14620" width="14.28515625" style="4" customWidth="1"/>
    <col min="14621" max="14621" width="11.42578125" style="4"/>
    <col min="14622" max="14622" width="30" style="4" customWidth="1"/>
    <col min="14623" max="14623" width="29.42578125" style="4" customWidth="1"/>
    <col min="14624" max="14624" width="11.42578125" style="4"/>
    <col min="14625" max="14625" width="18.7109375" style="4" customWidth="1"/>
    <col min="14626" max="14626" width="28.140625" style="4" customWidth="1"/>
    <col min="14627" max="14627" width="11.42578125" style="4"/>
    <col min="14628" max="14628" width="19.5703125" style="4" customWidth="1"/>
    <col min="14629" max="14629" width="36.42578125" style="4" customWidth="1"/>
    <col min="14630" max="14630" width="46.7109375" style="4" customWidth="1"/>
    <col min="14631" max="14631" width="28" style="4" customWidth="1"/>
    <col min="14632" max="14632" width="16.42578125" style="4" customWidth="1"/>
    <col min="14633" max="14633" width="12.42578125" style="4" customWidth="1"/>
    <col min="14634" max="14645" width="11.42578125" style="4"/>
    <col min="14646" max="14646" width="13" style="4" customWidth="1"/>
    <col min="14647" max="14647" width="14.7109375" style="4" customWidth="1"/>
    <col min="14648" max="14648" width="34.28515625" style="4" customWidth="1"/>
    <col min="14649" max="14871" width="11.42578125" style="4"/>
    <col min="14872" max="14872" width="14.140625" style="4" customWidth="1"/>
    <col min="14873" max="14873" width="11.42578125" style="4"/>
    <col min="14874" max="14874" width="14.140625" style="4" customWidth="1"/>
    <col min="14875" max="14875" width="11.42578125" style="4"/>
    <col min="14876" max="14876" width="14.28515625" style="4" customWidth="1"/>
    <col min="14877" max="14877" width="11.42578125" style="4"/>
    <col min="14878" max="14878" width="30" style="4" customWidth="1"/>
    <col min="14879" max="14879" width="29.42578125" style="4" customWidth="1"/>
    <col min="14880" max="14880" width="11.42578125" style="4"/>
    <col min="14881" max="14881" width="18.7109375" style="4" customWidth="1"/>
    <col min="14882" max="14882" width="28.140625" style="4" customWidth="1"/>
    <col min="14883" max="14883" width="11.42578125" style="4"/>
    <col min="14884" max="14884" width="19.5703125" style="4" customWidth="1"/>
    <col min="14885" max="14885" width="36.42578125" style="4" customWidth="1"/>
    <col min="14886" max="14886" width="46.7109375" style="4" customWidth="1"/>
    <col min="14887" max="14887" width="28" style="4" customWidth="1"/>
    <col min="14888" max="14888" width="16.42578125" style="4" customWidth="1"/>
    <col min="14889" max="14889" width="12.42578125" style="4" customWidth="1"/>
    <col min="14890" max="14901" width="11.42578125" style="4"/>
    <col min="14902" max="14902" width="13" style="4" customWidth="1"/>
    <col min="14903" max="14903" width="14.7109375" style="4" customWidth="1"/>
    <col min="14904" max="14904" width="34.28515625" style="4" customWidth="1"/>
    <col min="14905" max="15127" width="11.42578125" style="4"/>
    <col min="15128" max="15128" width="14.140625" style="4" customWidth="1"/>
    <col min="15129" max="15129" width="11.42578125" style="4"/>
    <col min="15130" max="15130" width="14.140625" style="4" customWidth="1"/>
    <col min="15131" max="15131" width="11.42578125" style="4"/>
    <col min="15132" max="15132" width="14.28515625" style="4" customWidth="1"/>
    <col min="15133" max="15133" width="11.42578125" style="4"/>
    <col min="15134" max="15134" width="30" style="4" customWidth="1"/>
    <col min="15135" max="15135" width="29.42578125" style="4" customWidth="1"/>
    <col min="15136" max="15136" width="11.42578125" style="4"/>
    <col min="15137" max="15137" width="18.7109375" style="4" customWidth="1"/>
    <col min="15138" max="15138" width="28.140625" style="4" customWidth="1"/>
    <col min="15139" max="15139" width="11.42578125" style="4"/>
    <col min="15140" max="15140" width="19.5703125" style="4" customWidth="1"/>
    <col min="15141" max="15141" width="36.42578125" style="4" customWidth="1"/>
    <col min="15142" max="15142" width="46.7109375" style="4" customWidth="1"/>
    <col min="15143" max="15143" width="28" style="4" customWidth="1"/>
    <col min="15144" max="15144" width="16.42578125" style="4" customWidth="1"/>
    <col min="15145" max="15145" width="12.42578125" style="4" customWidth="1"/>
    <col min="15146" max="15157" width="11.42578125" style="4"/>
    <col min="15158" max="15158" width="13" style="4" customWidth="1"/>
    <col min="15159" max="15159" width="14.7109375" style="4" customWidth="1"/>
    <col min="15160" max="15160" width="34.28515625" style="4" customWidth="1"/>
    <col min="15161" max="15383" width="11.42578125" style="4"/>
    <col min="15384" max="15384" width="14.140625" style="4" customWidth="1"/>
    <col min="15385" max="15385" width="11.42578125" style="4"/>
    <col min="15386" max="15386" width="14.140625" style="4" customWidth="1"/>
    <col min="15387" max="15387" width="11.42578125" style="4"/>
    <col min="15388" max="15388" width="14.28515625" style="4" customWidth="1"/>
    <col min="15389" max="15389" width="11.42578125" style="4"/>
    <col min="15390" max="15390" width="30" style="4" customWidth="1"/>
    <col min="15391" max="15391" width="29.42578125" style="4" customWidth="1"/>
    <col min="15392" max="15392" width="11.42578125" style="4"/>
    <col min="15393" max="15393" width="18.7109375" style="4" customWidth="1"/>
    <col min="15394" max="15394" width="28.140625" style="4" customWidth="1"/>
    <col min="15395" max="15395" width="11.42578125" style="4"/>
    <col min="15396" max="15396" width="19.5703125" style="4" customWidth="1"/>
    <col min="15397" max="15397" width="36.42578125" style="4" customWidth="1"/>
    <col min="15398" max="15398" width="46.7109375" style="4" customWidth="1"/>
    <col min="15399" max="15399" width="28" style="4" customWidth="1"/>
    <col min="15400" max="15400" width="16.42578125" style="4" customWidth="1"/>
    <col min="15401" max="15401" width="12.42578125" style="4" customWidth="1"/>
    <col min="15402" max="15413" width="11.42578125" style="4"/>
    <col min="15414" max="15414" width="13" style="4" customWidth="1"/>
    <col min="15415" max="15415" width="14.7109375" style="4" customWidth="1"/>
    <col min="15416" max="15416" width="34.28515625" style="4" customWidth="1"/>
    <col min="15417" max="15639" width="11.42578125" style="4"/>
    <col min="15640" max="15640" width="14.140625" style="4" customWidth="1"/>
    <col min="15641" max="15641" width="11.42578125" style="4"/>
    <col min="15642" max="15642" width="14.140625" style="4" customWidth="1"/>
    <col min="15643" max="15643" width="11.42578125" style="4"/>
    <col min="15644" max="15644" width="14.28515625" style="4" customWidth="1"/>
    <col min="15645" max="15645" width="11.42578125" style="4"/>
    <col min="15646" max="15646" width="30" style="4" customWidth="1"/>
    <col min="15647" max="15647" width="29.42578125" style="4" customWidth="1"/>
    <col min="15648" max="15648" width="11.42578125" style="4"/>
    <col min="15649" max="15649" width="18.7109375" style="4" customWidth="1"/>
    <col min="15650" max="15650" width="28.140625" style="4" customWidth="1"/>
    <col min="15651" max="15651" width="11.42578125" style="4"/>
    <col min="15652" max="15652" width="19.5703125" style="4" customWidth="1"/>
    <col min="15653" max="15653" width="36.42578125" style="4" customWidth="1"/>
    <col min="15654" max="15654" width="46.7109375" style="4" customWidth="1"/>
    <col min="15655" max="15655" width="28" style="4" customWidth="1"/>
    <col min="15656" max="15656" width="16.42578125" style="4" customWidth="1"/>
    <col min="15657" max="15657" width="12.42578125" style="4" customWidth="1"/>
    <col min="15658" max="15669" width="11.42578125" style="4"/>
    <col min="15670" max="15670" width="13" style="4" customWidth="1"/>
    <col min="15671" max="15671" width="14.7109375" style="4" customWidth="1"/>
    <col min="15672" max="15672" width="34.28515625" style="4" customWidth="1"/>
    <col min="15673" max="15895" width="11.42578125" style="4"/>
    <col min="15896" max="15896" width="14.140625" style="4" customWidth="1"/>
    <col min="15897" max="15897" width="11.42578125" style="4"/>
    <col min="15898" max="15898" width="14.140625" style="4" customWidth="1"/>
    <col min="15899" max="15899" width="11.42578125" style="4"/>
    <col min="15900" max="15900" width="14.28515625" style="4" customWidth="1"/>
    <col min="15901" max="15901" width="11.42578125" style="4"/>
    <col min="15902" max="15902" width="30" style="4" customWidth="1"/>
    <col min="15903" max="15903" width="29.42578125" style="4" customWidth="1"/>
    <col min="15904" max="15904" width="11.42578125" style="4"/>
    <col min="15905" max="15905" width="18.7109375" style="4" customWidth="1"/>
    <col min="15906" max="15906" width="28.140625" style="4" customWidth="1"/>
    <col min="15907" max="15907" width="11.42578125" style="4"/>
    <col min="15908" max="15908" width="19.5703125" style="4" customWidth="1"/>
    <col min="15909" max="15909" width="36.42578125" style="4" customWidth="1"/>
    <col min="15910" max="15910" width="46.7109375" style="4" customWidth="1"/>
    <col min="15911" max="15911" width="28" style="4" customWidth="1"/>
    <col min="15912" max="15912" width="16.42578125" style="4" customWidth="1"/>
    <col min="15913" max="15913" width="12.42578125" style="4" customWidth="1"/>
    <col min="15914" max="15925" width="11.42578125" style="4"/>
    <col min="15926" max="15926" width="13" style="4" customWidth="1"/>
    <col min="15927" max="15927" width="14.7109375" style="4" customWidth="1"/>
    <col min="15928" max="15928" width="34.28515625" style="4" customWidth="1"/>
    <col min="15929" max="16151" width="11.42578125" style="4"/>
    <col min="16152" max="16152" width="14.140625" style="4" customWidth="1"/>
    <col min="16153" max="16153" width="11.42578125" style="4"/>
    <col min="16154" max="16154" width="14.140625" style="4" customWidth="1"/>
    <col min="16155" max="16155" width="11.42578125" style="4"/>
    <col min="16156" max="16156" width="14.28515625" style="4" customWidth="1"/>
    <col min="16157" max="16157" width="11.42578125" style="4"/>
    <col min="16158" max="16158" width="30" style="4" customWidth="1"/>
    <col min="16159" max="16159" width="29.42578125" style="4" customWidth="1"/>
    <col min="16160" max="16160" width="11.42578125" style="4"/>
    <col min="16161" max="16161" width="18.7109375" style="4" customWidth="1"/>
    <col min="16162" max="16162" width="28.140625" style="4" customWidth="1"/>
    <col min="16163" max="16163" width="11.42578125" style="4"/>
    <col min="16164" max="16164" width="19.5703125" style="4" customWidth="1"/>
    <col min="16165" max="16165" width="36.42578125" style="4" customWidth="1"/>
    <col min="16166" max="16166" width="46.7109375" style="4" customWidth="1"/>
    <col min="16167" max="16167" width="28" style="4" customWidth="1"/>
    <col min="16168" max="16168" width="16.42578125" style="4" customWidth="1"/>
    <col min="16169" max="16169" width="12.42578125" style="4" customWidth="1"/>
    <col min="16170" max="16181" width="11.42578125" style="4"/>
    <col min="16182" max="16182" width="13" style="4" customWidth="1"/>
    <col min="16183" max="16183" width="14.7109375" style="4" customWidth="1"/>
    <col min="16184" max="16184" width="34.28515625" style="4" customWidth="1"/>
    <col min="16185" max="16384" width="11.42578125" style="4"/>
  </cols>
  <sheetData>
    <row r="1" spans="1:59" ht="15"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4227"/>
      <c r="BD1" s="160"/>
      <c r="BF1" s="1895" t="s">
        <v>1</v>
      </c>
      <c r="BG1" s="1895" t="s">
        <v>2</v>
      </c>
    </row>
    <row r="2" spans="1:59"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4227"/>
      <c r="BD2" s="160"/>
      <c r="BF2" s="1896" t="s">
        <v>3</v>
      </c>
      <c r="BG2" s="1897">
        <v>5</v>
      </c>
    </row>
    <row r="3" spans="1:59"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4227"/>
      <c r="BD3" s="160"/>
      <c r="BF3" s="1895" t="s">
        <v>4</v>
      </c>
      <c r="BG3" s="1898" t="s">
        <v>335</v>
      </c>
    </row>
    <row r="4" spans="1:59" s="24" customFormat="1" ht="15"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4228"/>
      <c r="BD4" s="161"/>
      <c r="BF4" s="679" t="s">
        <v>6</v>
      </c>
      <c r="BG4" s="1899" t="s">
        <v>7</v>
      </c>
    </row>
    <row r="5" spans="1:59"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row>
    <row r="6" spans="1:59"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row>
    <row r="7" spans="1:59" ht="30" x14ac:dyDescent="0.2">
      <c r="A7" s="3136" t="s">
        <v>11</v>
      </c>
      <c r="B7" s="4229" t="s">
        <v>12</v>
      </c>
      <c r="C7" s="4229" t="s">
        <v>11</v>
      </c>
      <c r="D7" s="4229" t="s">
        <v>13</v>
      </c>
      <c r="E7" s="4229" t="s">
        <v>11</v>
      </c>
      <c r="F7" s="4229" t="s">
        <v>14</v>
      </c>
      <c r="G7" s="4229" t="s">
        <v>11</v>
      </c>
      <c r="H7" s="4229" t="s">
        <v>15</v>
      </c>
      <c r="I7" s="4229" t="s">
        <v>16</v>
      </c>
      <c r="J7" s="3135" t="s">
        <v>17</v>
      </c>
      <c r="K7" s="3136"/>
      <c r="L7" s="4229" t="s">
        <v>18</v>
      </c>
      <c r="M7" s="4229" t="s">
        <v>19</v>
      </c>
      <c r="N7" s="4229" t="s">
        <v>9</v>
      </c>
      <c r="O7" s="4229" t="s">
        <v>20</v>
      </c>
      <c r="P7" s="4261" t="s">
        <v>21</v>
      </c>
      <c r="Q7" s="4229" t="s">
        <v>22</v>
      </c>
      <c r="R7" s="4229" t="s">
        <v>23</v>
      </c>
      <c r="S7" s="4229" t="s">
        <v>24</v>
      </c>
      <c r="T7" s="4244" t="s">
        <v>21</v>
      </c>
      <c r="U7" s="4245"/>
      <c r="V7" s="4246"/>
      <c r="W7" s="1627" t="s">
        <v>11</v>
      </c>
      <c r="X7" s="1627" t="s">
        <v>25</v>
      </c>
      <c r="Y7" s="4250" t="s">
        <v>26</v>
      </c>
      <c r="Z7" s="4251"/>
      <c r="AA7" s="4251"/>
      <c r="AB7" s="4251"/>
      <c r="AC7" s="4251"/>
      <c r="AD7" s="4251"/>
      <c r="AE7" s="4251"/>
      <c r="AF7" s="4251"/>
      <c r="AG7" s="4251"/>
      <c r="AH7" s="4251"/>
      <c r="AI7" s="4251"/>
      <c r="AJ7" s="4252"/>
      <c r="AK7" s="4253" t="s">
        <v>27</v>
      </c>
      <c r="AL7" s="4254"/>
      <c r="AM7" s="4254"/>
      <c r="AN7" s="4254"/>
      <c r="AO7" s="4254"/>
      <c r="AP7" s="4254"/>
      <c r="AQ7" s="4254"/>
      <c r="AR7" s="4254"/>
      <c r="AS7" s="4254"/>
      <c r="AT7" s="4254"/>
      <c r="AU7" s="4254"/>
      <c r="AV7" s="4255"/>
      <c r="AW7" s="3009" t="s">
        <v>28</v>
      </c>
      <c r="AX7" s="3010"/>
      <c r="AY7" s="3010"/>
      <c r="AZ7" s="3010"/>
      <c r="BA7" s="3010"/>
      <c r="BB7" s="3011"/>
      <c r="BC7" s="3032" t="s">
        <v>29</v>
      </c>
      <c r="BD7" s="3033"/>
      <c r="BE7" s="3032" t="s">
        <v>30</v>
      </c>
      <c r="BF7" s="3033"/>
      <c r="BG7" s="4240" t="s">
        <v>31</v>
      </c>
    </row>
    <row r="8" spans="1:59" ht="28.5" customHeight="1" x14ac:dyDescent="0.2">
      <c r="A8" s="4232"/>
      <c r="B8" s="4230"/>
      <c r="C8" s="4230"/>
      <c r="D8" s="4230"/>
      <c r="E8" s="4230"/>
      <c r="F8" s="4230"/>
      <c r="G8" s="4230"/>
      <c r="H8" s="4230"/>
      <c r="I8" s="4230"/>
      <c r="J8" s="4231"/>
      <c r="K8" s="4232"/>
      <c r="L8" s="4230"/>
      <c r="M8" s="4230"/>
      <c r="N8" s="4230"/>
      <c r="O8" s="4230"/>
      <c r="P8" s="4262"/>
      <c r="Q8" s="4230"/>
      <c r="R8" s="4230"/>
      <c r="S8" s="4230"/>
      <c r="T8" s="4247"/>
      <c r="U8" s="4248"/>
      <c r="V8" s="4249"/>
      <c r="W8" s="1628"/>
      <c r="X8" s="1628"/>
      <c r="Y8" s="3135" t="s">
        <v>32</v>
      </c>
      <c r="Z8" s="3136"/>
      <c r="AA8" s="4242" t="s">
        <v>33</v>
      </c>
      <c r="AB8" s="4243"/>
      <c r="AC8" s="3135" t="s">
        <v>34</v>
      </c>
      <c r="AD8" s="3136"/>
      <c r="AE8" s="3135" t="s">
        <v>35</v>
      </c>
      <c r="AF8" s="3136"/>
      <c r="AG8" s="3135" t="s">
        <v>36</v>
      </c>
      <c r="AH8" s="3136"/>
      <c r="AI8" s="3135" t="s">
        <v>37</v>
      </c>
      <c r="AJ8" s="3136"/>
      <c r="AK8" s="3135" t="s">
        <v>38</v>
      </c>
      <c r="AL8" s="3136"/>
      <c r="AM8" s="3135" t="s">
        <v>39</v>
      </c>
      <c r="AN8" s="3136"/>
      <c r="AO8" s="3135" t="s">
        <v>40</v>
      </c>
      <c r="AP8" s="3136"/>
      <c r="AQ8" s="3135" t="s">
        <v>41</v>
      </c>
      <c r="AR8" s="3136"/>
      <c r="AS8" s="3135" t="s">
        <v>42</v>
      </c>
      <c r="AT8" s="3136"/>
      <c r="AU8" s="3138" t="s">
        <v>43</v>
      </c>
      <c r="AV8" s="3138"/>
      <c r="AW8" s="2726" t="s">
        <v>44</v>
      </c>
      <c r="AX8" s="2727" t="s">
        <v>45</v>
      </c>
      <c r="AY8" s="2726" t="s">
        <v>46</v>
      </c>
      <c r="AZ8" s="2728" t="s">
        <v>47</v>
      </c>
      <c r="BA8" s="2726" t="s">
        <v>48</v>
      </c>
      <c r="BB8" s="2721" t="s">
        <v>49</v>
      </c>
      <c r="BC8" s="3034"/>
      <c r="BD8" s="3035"/>
      <c r="BE8" s="3034"/>
      <c r="BF8" s="3035"/>
      <c r="BG8" s="4241"/>
    </row>
    <row r="9" spans="1:59" ht="29.25" customHeight="1" thickBot="1" x14ac:dyDescent="0.25">
      <c r="A9" s="4232"/>
      <c r="B9" s="4230"/>
      <c r="C9" s="4230"/>
      <c r="D9" s="4230"/>
      <c r="E9" s="4230"/>
      <c r="F9" s="4230"/>
      <c r="G9" s="4230"/>
      <c r="H9" s="4230"/>
      <c r="I9" s="4230"/>
      <c r="J9" s="2491" t="s">
        <v>121</v>
      </c>
      <c r="K9" s="1629" t="s">
        <v>51</v>
      </c>
      <c r="L9" s="4230"/>
      <c r="M9" s="4230"/>
      <c r="N9" s="4230"/>
      <c r="O9" s="4230"/>
      <c r="P9" s="4262"/>
      <c r="Q9" s="4230"/>
      <c r="R9" s="4230"/>
      <c r="S9" s="4230"/>
      <c r="T9" s="2090" t="s">
        <v>52</v>
      </c>
      <c r="U9" s="2373" t="s">
        <v>53</v>
      </c>
      <c r="V9" s="2373" t="s">
        <v>54</v>
      </c>
      <c r="W9" s="1628"/>
      <c r="X9" s="1628"/>
      <c r="Y9" s="2491" t="s">
        <v>121</v>
      </c>
      <c r="Z9" s="1629" t="s">
        <v>51</v>
      </c>
      <c r="AA9" s="2491" t="s">
        <v>121</v>
      </c>
      <c r="AB9" s="1629" t="s">
        <v>51</v>
      </c>
      <c r="AC9" s="2491" t="s">
        <v>121</v>
      </c>
      <c r="AD9" s="1629" t="s">
        <v>51</v>
      </c>
      <c r="AE9" s="2491" t="s">
        <v>121</v>
      </c>
      <c r="AF9" s="1629" t="s">
        <v>51</v>
      </c>
      <c r="AG9" s="2491" t="s">
        <v>121</v>
      </c>
      <c r="AH9" s="1629" t="s">
        <v>51</v>
      </c>
      <c r="AI9" s="2491" t="s">
        <v>121</v>
      </c>
      <c r="AJ9" s="1629" t="s">
        <v>51</v>
      </c>
      <c r="AK9" s="2491" t="s">
        <v>121</v>
      </c>
      <c r="AL9" s="1629" t="s">
        <v>51</v>
      </c>
      <c r="AM9" s="2491" t="s">
        <v>121</v>
      </c>
      <c r="AN9" s="1629" t="s">
        <v>51</v>
      </c>
      <c r="AO9" s="2491" t="s">
        <v>121</v>
      </c>
      <c r="AP9" s="1629" t="s">
        <v>51</v>
      </c>
      <c r="AQ9" s="2491" t="s">
        <v>121</v>
      </c>
      <c r="AR9" s="1629" t="s">
        <v>51</v>
      </c>
      <c r="AS9" s="2491" t="s">
        <v>121</v>
      </c>
      <c r="AT9" s="1629" t="s">
        <v>51</v>
      </c>
      <c r="AU9" s="2491" t="s">
        <v>121</v>
      </c>
      <c r="AV9" s="1629" t="s">
        <v>51</v>
      </c>
      <c r="AW9" s="2726"/>
      <c r="AX9" s="2727"/>
      <c r="AY9" s="2726"/>
      <c r="AZ9" s="2728"/>
      <c r="BA9" s="2726"/>
      <c r="BB9" s="2722"/>
      <c r="BC9" s="422" t="s">
        <v>50</v>
      </c>
      <c r="BD9" s="423" t="s">
        <v>51</v>
      </c>
      <c r="BE9" s="422" t="s">
        <v>50</v>
      </c>
      <c r="BF9" s="424" t="s">
        <v>51</v>
      </c>
      <c r="BG9" s="4241"/>
    </row>
    <row r="10" spans="1:59" s="20" customFormat="1" ht="15" x14ac:dyDescent="0.2">
      <c r="A10" s="1630">
        <v>3</v>
      </c>
      <c r="B10" s="1631" t="s">
        <v>1216</v>
      </c>
      <c r="C10" s="1632"/>
      <c r="D10" s="1632"/>
      <c r="E10" s="1632"/>
      <c r="F10" s="1632"/>
      <c r="G10" s="1632"/>
      <c r="H10" s="1632"/>
      <c r="I10" s="1632"/>
      <c r="J10" s="1632"/>
      <c r="K10" s="1633"/>
      <c r="L10" s="1632"/>
      <c r="M10" s="1632"/>
      <c r="N10" s="1632"/>
      <c r="O10" s="1632"/>
      <c r="P10" s="1632"/>
      <c r="Q10" s="1632"/>
      <c r="R10" s="1632"/>
      <c r="S10" s="1632"/>
      <c r="T10" s="1632"/>
      <c r="U10" s="1633"/>
      <c r="V10" s="1633"/>
      <c r="W10" s="1632"/>
      <c r="X10" s="1632"/>
      <c r="Y10" s="1632"/>
      <c r="Z10" s="1633"/>
      <c r="AA10" s="1632"/>
      <c r="AB10" s="1633"/>
      <c r="AC10" s="1632"/>
      <c r="AD10" s="1633"/>
      <c r="AE10" s="1632"/>
      <c r="AF10" s="1633"/>
      <c r="AG10" s="1632"/>
      <c r="AH10" s="1633"/>
      <c r="AI10" s="1632"/>
      <c r="AJ10" s="1633"/>
      <c r="AK10" s="1632"/>
      <c r="AL10" s="1633"/>
      <c r="AM10" s="1632"/>
      <c r="AN10" s="1633"/>
      <c r="AO10" s="1632"/>
      <c r="AP10" s="1633"/>
      <c r="AQ10" s="1632"/>
      <c r="AR10" s="1633"/>
      <c r="AS10" s="1632"/>
      <c r="AT10" s="1633"/>
      <c r="AU10" s="1632"/>
      <c r="AV10" s="1633"/>
      <c r="AW10" s="1632"/>
      <c r="AX10" s="1632"/>
      <c r="AY10" s="1632"/>
      <c r="AZ10" s="1632"/>
      <c r="BA10" s="1632"/>
      <c r="BB10" s="1632"/>
      <c r="BC10" s="1632"/>
      <c r="BD10" s="1633"/>
      <c r="BE10" s="1632"/>
      <c r="BF10" s="1633"/>
      <c r="BG10" s="1634"/>
    </row>
    <row r="11" spans="1:59" s="20" customFormat="1" ht="15" x14ac:dyDescent="0.2">
      <c r="A11" s="4233">
        <v>180</v>
      </c>
      <c r="B11" s="4227"/>
      <c r="C11" s="1635">
        <v>16</v>
      </c>
      <c r="D11" s="69" t="s">
        <v>1433</v>
      </c>
      <c r="E11" s="547"/>
      <c r="F11" s="547"/>
      <c r="G11" s="547"/>
      <c r="H11" s="547"/>
      <c r="I11" s="547"/>
      <c r="J11" s="547"/>
      <c r="K11" s="548"/>
      <c r="L11" s="547"/>
      <c r="M11" s="547"/>
      <c r="N11" s="547"/>
      <c r="O11" s="547"/>
      <c r="P11" s="547"/>
      <c r="Q11" s="547"/>
      <c r="R11" s="547"/>
      <c r="S11" s="547"/>
      <c r="T11" s="547"/>
      <c r="U11" s="548"/>
      <c r="V11" s="548"/>
      <c r="W11" s="547"/>
      <c r="X11" s="547"/>
      <c r="Y11" s="547"/>
      <c r="Z11" s="548"/>
      <c r="AA11" s="547"/>
      <c r="AB11" s="548"/>
      <c r="AC11" s="547"/>
      <c r="AD11" s="548"/>
      <c r="AE11" s="547"/>
      <c r="AF11" s="548"/>
      <c r="AG11" s="547"/>
      <c r="AH11" s="548"/>
      <c r="AI11" s="547"/>
      <c r="AJ11" s="548"/>
      <c r="AK11" s="547"/>
      <c r="AL11" s="548"/>
      <c r="AM11" s="547"/>
      <c r="AN11" s="548"/>
      <c r="AO11" s="547"/>
      <c r="AP11" s="548"/>
      <c r="AQ11" s="547"/>
      <c r="AR11" s="548"/>
      <c r="AS11" s="547"/>
      <c r="AT11" s="548"/>
      <c r="AU11" s="547"/>
      <c r="AV11" s="548"/>
      <c r="AW11" s="547"/>
      <c r="AX11" s="547"/>
      <c r="AY11" s="547"/>
      <c r="AZ11" s="547"/>
      <c r="BA11" s="547"/>
      <c r="BB11" s="547"/>
      <c r="BC11" s="547"/>
      <c r="BD11" s="548"/>
      <c r="BE11" s="547"/>
      <c r="BF11" s="548"/>
      <c r="BG11" s="1636"/>
    </row>
    <row r="12" spans="1:59" s="3" customFormat="1" ht="15" x14ac:dyDescent="0.2">
      <c r="A12" s="4233"/>
      <c r="B12" s="4227"/>
      <c r="C12" s="4236"/>
      <c r="D12" s="4237"/>
      <c r="E12" s="580">
        <v>56</v>
      </c>
      <c r="F12" s="2193" t="s">
        <v>1441</v>
      </c>
      <c r="G12" s="2194"/>
      <c r="H12" s="2194"/>
      <c r="I12" s="2194"/>
      <c r="J12" s="2194"/>
      <c r="K12" s="538"/>
      <c r="L12" s="2194"/>
      <c r="M12" s="2194"/>
      <c r="N12" s="2194"/>
      <c r="O12" s="2194"/>
      <c r="P12" s="2194"/>
      <c r="Q12" s="2194"/>
      <c r="R12" s="2194"/>
      <c r="S12" s="2194"/>
      <c r="T12" s="2194"/>
      <c r="U12" s="538"/>
      <c r="V12" s="538"/>
      <c r="W12" s="2194"/>
      <c r="X12" s="2194"/>
      <c r="Y12" s="2194"/>
      <c r="Z12" s="538"/>
      <c r="AA12" s="2194"/>
      <c r="AB12" s="538"/>
      <c r="AC12" s="2194"/>
      <c r="AD12" s="538"/>
      <c r="AE12" s="2194"/>
      <c r="AF12" s="538"/>
      <c r="AG12" s="2194"/>
      <c r="AH12" s="538"/>
      <c r="AI12" s="2194"/>
      <c r="AJ12" s="538"/>
      <c r="AK12" s="2194"/>
      <c r="AL12" s="538"/>
      <c r="AM12" s="2194"/>
      <c r="AN12" s="538"/>
      <c r="AO12" s="2194"/>
      <c r="AP12" s="538"/>
      <c r="AQ12" s="2194"/>
      <c r="AR12" s="538"/>
      <c r="AS12" s="2194"/>
      <c r="AT12" s="538"/>
      <c r="AU12" s="2194"/>
      <c r="AV12" s="538"/>
      <c r="AW12" s="2194"/>
      <c r="AX12" s="2194"/>
      <c r="AY12" s="2194"/>
      <c r="AZ12" s="2194"/>
      <c r="BA12" s="2194"/>
      <c r="BB12" s="2194"/>
      <c r="BC12" s="2194"/>
      <c r="BD12" s="538"/>
      <c r="BE12" s="2194"/>
      <c r="BF12" s="538"/>
      <c r="BG12" s="1958"/>
    </row>
    <row r="13" spans="1:59" s="3" customFormat="1" ht="115.5" customHeight="1" x14ac:dyDescent="0.2">
      <c r="A13" s="4233"/>
      <c r="B13" s="4227"/>
      <c r="C13" s="4236"/>
      <c r="D13" s="4237"/>
      <c r="E13" s="3042"/>
      <c r="F13" s="3043"/>
      <c r="G13" s="2460">
        <v>180</v>
      </c>
      <c r="H13" s="2470" t="s">
        <v>1442</v>
      </c>
      <c r="I13" s="2199" t="s">
        <v>1443</v>
      </c>
      <c r="J13" s="2105">
        <v>1</v>
      </c>
      <c r="K13" s="2183">
        <v>1</v>
      </c>
      <c r="L13" s="4256" t="s">
        <v>1444</v>
      </c>
      <c r="M13" s="4258">
        <v>102</v>
      </c>
      <c r="N13" s="4268" t="s">
        <v>1445</v>
      </c>
      <c r="O13" s="2238">
        <f>+T13/P13</f>
        <v>0.79166666666666663</v>
      </c>
      <c r="P13" s="4271">
        <v>60000000</v>
      </c>
      <c r="Q13" s="4268" t="s">
        <v>1446</v>
      </c>
      <c r="R13" s="1637" t="s">
        <v>1447</v>
      </c>
      <c r="S13" s="2200" t="s">
        <v>1448</v>
      </c>
      <c r="T13" s="1638">
        <v>47500000</v>
      </c>
      <c r="U13" s="1639">
        <v>42167302</v>
      </c>
      <c r="V13" s="1639">
        <v>42167302</v>
      </c>
      <c r="W13" s="4273">
        <v>20</v>
      </c>
      <c r="X13" s="4273" t="s">
        <v>130</v>
      </c>
      <c r="Y13" s="4270">
        <f>35+2800</f>
        <v>2835</v>
      </c>
      <c r="Z13" s="4270">
        <v>2835</v>
      </c>
      <c r="AA13" s="4265">
        <v>4440</v>
      </c>
      <c r="AB13" s="4265">
        <v>4440</v>
      </c>
      <c r="AC13" s="4265"/>
      <c r="AD13" s="4265"/>
      <c r="AE13" s="3952"/>
      <c r="AF13" s="3952"/>
      <c r="AG13" s="3952"/>
      <c r="AH13" s="3952"/>
      <c r="AI13" s="3952"/>
      <c r="AJ13" s="3952"/>
      <c r="AK13" s="3952"/>
      <c r="AL13" s="3952"/>
      <c r="AM13" s="3952"/>
      <c r="AN13" s="3952"/>
      <c r="AO13" s="3952"/>
      <c r="AP13" s="3952"/>
      <c r="AQ13" s="3952"/>
      <c r="AR13" s="3952"/>
      <c r="AS13" s="3952"/>
      <c r="AT13" s="3952"/>
      <c r="AU13" s="3952"/>
      <c r="AV13" s="4286"/>
      <c r="AW13" s="3915">
        <v>4</v>
      </c>
      <c r="AX13" s="4282">
        <v>51070635</v>
      </c>
      <c r="AY13" s="4282">
        <f>+AX13</f>
        <v>51070635</v>
      </c>
      <c r="AZ13" s="3278">
        <f>+AX13/AY13</f>
        <v>1</v>
      </c>
      <c r="BA13" s="3915">
        <v>20</v>
      </c>
      <c r="BB13" s="2707" t="s">
        <v>1449</v>
      </c>
      <c r="BC13" s="4276">
        <v>42642</v>
      </c>
      <c r="BD13" s="2936">
        <v>42642</v>
      </c>
      <c r="BE13" s="4276">
        <v>42731</v>
      </c>
      <c r="BF13" s="2936">
        <v>42731</v>
      </c>
      <c r="BG13" s="4280" t="s">
        <v>1450</v>
      </c>
    </row>
    <row r="14" spans="1:59" s="3" customFormat="1" ht="53.25" customHeight="1" x14ac:dyDescent="0.2">
      <c r="A14" s="4233"/>
      <c r="B14" s="4227"/>
      <c r="C14" s="4236"/>
      <c r="D14" s="4237"/>
      <c r="E14" s="3044"/>
      <c r="F14" s="3045"/>
      <c r="G14" s="4225">
        <v>181</v>
      </c>
      <c r="H14" s="4225" t="s">
        <v>1451</v>
      </c>
      <c r="I14" s="2723" t="s">
        <v>1452</v>
      </c>
      <c r="J14" s="2723">
        <v>6</v>
      </c>
      <c r="K14" s="4226">
        <v>6</v>
      </c>
      <c r="L14" s="4256"/>
      <c r="M14" s="4259"/>
      <c r="N14" s="4268"/>
      <c r="O14" s="3279">
        <f>+(T14+T15+T16)/P13</f>
        <v>0.20833333333333334</v>
      </c>
      <c r="P14" s="4272"/>
      <c r="Q14" s="4268"/>
      <c r="R14" s="2708" t="s">
        <v>1453</v>
      </c>
      <c r="S14" s="2386" t="s">
        <v>1454</v>
      </c>
      <c r="T14" s="1640">
        <v>800000</v>
      </c>
      <c r="U14" s="1639">
        <v>0</v>
      </c>
      <c r="V14" s="1639">
        <v>0</v>
      </c>
      <c r="W14" s="4274"/>
      <c r="X14" s="4274"/>
      <c r="Y14" s="4270"/>
      <c r="Z14" s="4270"/>
      <c r="AA14" s="4266"/>
      <c r="AB14" s="4266"/>
      <c r="AC14" s="4266"/>
      <c r="AD14" s="4266"/>
      <c r="AE14" s="4267"/>
      <c r="AF14" s="4267"/>
      <c r="AG14" s="4267"/>
      <c r="AH14" s="4267"/>
      <c r="AI14" s="4267"/>
      <c r="AJ14" s="4267"/>
      <c r="AK14" s="4267"/>
      <c r="AL14" s="4267"/>
      <c r="AM14" s="4267"/>
      <c r="AN14" s="4267"/>
      <c r="AO14" s="4267"/>
      <c r="AP14" s="4267"/>
      <c r="AQ14" s="4267"/>
      <c r="AR14" s="4267"/>
      <c r="AS14" s="4267"/>
      <c r="AT14" s="4267"/>
      <c r="AU14" s="4267"/>
      <c r="AV14" s="4286"/>
      <c r="AW14" s="3916"/>
      <c r="AX14" s="4283"/>
      <c r="AY14" s="4283"/>
      <c r="AZ14" s="3279"/>
      <c r="BA14" s="3916"/>
      <c r="BB14" s="2708"/>
      <c r="BC14" s="4277"/>
      <c r="BD14" s="4279"/>
      <c r="BE14" s="4277"/>
      <c r="BF14" s="4279"/>
      <c r="BG14" s="4280"/>
    </row>
    <row r="15" spans="1:59" s="3" customFormat="1" ht="57" x14ac:dyDescent="0.2">
      <c r="A15" s="4233"/>
      <c r="B15" s="4227"/>
      <c r="C15" s="4236"/>
      <c r="D15" s="4237"/>
      <c r="E15" s="3044"/>
      <c r="F15" s="3045"/>
      <c r="G15" s="4225"/>
      <c r="H15" s="4225"/>
      <c r="I15" s="2723"/>
      <c r="J15" s="2723"/>
      <c r="K15" s="4226"/>
      <c r="L15" s="4256"/>
      <c r="M15" s="4259"/>
      <c r="N15" s="4268"/>
      <c r="O15" s="3279"/>
      <c r="P15" s="4272"/>
      <c r="Q15" s="4268"/>
      <c r="R15" s="2708"/>
      <c r="S15" s="2386" t="s">
        <v>1455</v>
      </c>
      <c r="T15" s="1640">
        <v>8130000</v>
      </c>
      <c r="U15" s="1639">
        <v>5333333</v>
      </c>
      <c r="V15" s="1639">
        <v>5333333</v>
      </c>
      <c r="W15" s="4274"/>
      <c r="X15" s="4274"/>
      <c r="Y15" s="4263">
        <v>200</v>
      </c>
      <c r="Z15" s="4263">
        <v>200</v>
      </c>
      <c r="AA15" s="4265">
        <v>200</v>
      </c>
      <c r="AB15" s="4265">
        <v>200</v>
      </c>
      <c r="AC15" s="4265">
        <v>131</v>
      </c>
      <c r="AD15" s="4265">
        <v>131</v>
      </c>
      <c r="AE15" s="3952"/>
      <c r="AF15" s="3952"/>
      <c r="AG15" s="3952"/>
      <c r="AH15" s="3952"/>
      <c r="AI15" s="3952"/>
      <c r="AJ15" s="3952"/>
      <c r="AK15" s="3952"/>
      <c r="AL15" s="3952"/>
      <c r="AM15" s="3952"/>
      <c r="AN15" s="3952"/>
      <c r="AO15" s="3952"/>
      <c r="AP15" s="3952"/>
      <c r="AQ15" s="3952"/>
      <c r="AR15" s="3952"/>
      <c r="AS15" s="3952"/>
      <c r="AT15" s="3952"/>
      <c r="AU15" s="3952"/>
      <c r="AV15" s="1775"/>
      <c r="AW15" s="3916"/>
      <c r="AX15" s="4283"/>
      <c r="AY15" s="4283"/>
      <c r="AZ15" s="3279"/>
      <c r="BA15" s="3916"/>
      <c r="BB15" s="2708"/>
      <c r="BC15" s="4277"/>
      <c r="BD15" s="4279"/>
      <c r="BE15" s="4277"/>
      <c r="BF15" s="4279"/>
      <c r="BG15" s="4280"/>
    </row>
    <row r="16" spans="1:59" s="3" customFormat="1" ht="42" customHeight="1" x14ac:dyDescent="0.2">
      <c r="A16" s="4233"/>
      <c r="B16" s="4227"/>
      <c r="C16" s="4238"/>
      <c r="D16" s="4239"/>
      <c r="E16" s="3046"/>
      <c r="F16" s="3047"/>
      <c r="G16" s="4225"/>
      <c r="H16" s="4225"/>
      <c r="I16" s="2723"/>
      <c r="J16" s="2723"/>
      <c r="K16" s="4226"/>
      <c r="L16" s="4257"/>
      <c r="M16" s="4260"/>
      <c r="N16" s="4269"/>
      <c r="O16" s="3280"/>
      <c r="P16" s="4272"/>
      <c r="Q16" s="4269"/>
      <c r="R16" s="2709"/>
      <c r="S16" s="2386" t="s">
        <v>1456</v>
      </c>
      <c r="T16" s="1640">
        <v>3570000</v>
      </c>
      <c r="U16" s="1639">
        <v>3570000</v>
      </c>
      <c r="V16" s="1639">
        <v>3570000</v>
      </c>
      <c r="W16" s="4275"/>
      <c r="X16" s="4275"/>
      <c r="Y16" s="4264"/>
      <c r="Z16" s="4264"/>
      <c r="AA16" s="4266"/>
      <c r="AB16" s="4266"/>
      <c r="AC16" s="4266"/>
      <c r="AD16" s="4266"/>
      <c r="AE16" s="4267"/>
      <c r="AF16" s="4267"/>
      <c r="AG16" s="4267"/>
      <c r="AH16" s="4267"/>
      <c r="AI16" s="4267"/>
      <c r="AJ16" s="4267"/>
      <c r="AK16" s="4267"/>
      <c r="AL16" s="4267"/>
      <c r="AM16" s="4267"/>
      <c r="AN16" s="4267"/>
      <c r="AO16" s="4267"/>
      <c r="AP16" s="4267"/>
      <c r="AQ16" s="4267"/>
      <c r="AR16" s="4267"/>
      <c r="AS16" s="4267"/>
      <c r="AT16" s="4267"/>
      <c r="AU16" s="4267"/>
      <c r="AV16" s="1641"/>
      <c r="AW16" s="4285"/>
      <c r="AX16" s="4284"/>
      <c r="AY16" s="4284"/>
      <c r="AZ16" s="3280"/>
      <c r="BA16" s="4285"/>
      <c r="BB16" s="2709"/>
      <c r="BC16" s="4278"/>
      <c r="BD16" s="2937"/>
      <c r="BE16" s="4278"/>
      <c r="BF16" s="2937"/>
      <c r="BG16" s="4281"/>
    </row>
    <row r="17" spans="1:59" s="3" customFormat="1" ht="15" x14ac:dyDescent="0.2">
      <c r="A17" s="4233"/>
      <c r="B17" s="4227"/>
      <c r="C17" s="1964">
        <v>17</v>
      </c>
      <c r="D17" s="1965" t="s">
        <v>1457</v>
      </c>
      <c r="E17" s="1966"/>
      <c r="F17" s="1966"/>
      <c r="G17" s="1966"/>
      <c r="H17" s="1966"/>
      <c r="I17" s="1966"/>
      <c r="J17" s="1966"/>
      <c r="K17" s="1967"/>
      <c r="L17" s="1966"/>
      <c r="M17" s="1966"/>
      <c r="N17" s="1966"/>
      <c r="O17" s="1966"/>
      <c r="P17" s="1966"/>
      <c r="Q17" s="1966"/>
      <c r="R17" s="1966"/>
      <c r="S17" s="1966"/>
      <c r="T17" s="1966"/>
      <c r="U17" s="1968"/>
      <c r="V17" s="1969"/>
      <c r="W17" s="1966"/>
      <c r="X17" s="1966"/>
      <c r="Y17" s="1966"/>
      <c r="Z17" s="1967"/>
      <c r="AA17" s="1966"/>
      <c r="AB17" s="1967"/>
      <c r="AC17" s="1966"/>
      <c r="AD17" s="1967"/>
      <c r="AE17" s="1966"/>
      <c r="AF17" s="1967"/>
      <c r="AG17" s="1966"/>
      <c r="AH17" s="1967"/>
      <c r="AI17" s="1966"/>
      <c r="AJ17" s="1967"/>
      <c r="AK17" s="1966"/>
      <c r="AL17" s="1967"/>
      <c r="AM17" s="1966"/>
      <c r="AN17" s="1967"/>
      <c r="AO17" s="1966"/>
      <c r="AP17" s="1967"/>
      <c r="AQ17" s="1966"/>
      <c r="AR17" s="1967"/>
      <c r="AS17" s="1966"/>
      <c r="AT17" s="1967"/>
      <c r="AU17" s="1966"/>
      <c r="AV17" s="1967"/>
      <c r="AW17" s="1966"/>
      <c r="AX17" s="1966"/>
      <c r="AY17" s="1966"/>
      <c r="AZ17" s="1966"/>
      <c r="BA17" s="1966"/>
      <c r="BB17" s="1966"/>
      <c r="BC17" s="1966"/>
      <c r="BD17" s="1967"/>
      <c r="BE17" s="1966"/>
      <c r="BF17" s="1967"/>
      <c r="BG17" s="1970"/>
    </row>
    <row r="18" spans="1:59" s="3" customFormat="1" ht="15" x14ac:dyDescent="0.2">
      <c r="A18" s="4233"/>
      <c r="B18" s="4227"/>
      <c r="C18" s="4340"/>
      <c r="D18" s="4341"/>
      <c r="E18" s="1959">
        <v>58</v>
      </c>
      <c r="F18" s="1960" t="s">
        <v>1458</v>
      </c>
      <c r="G18" s="1961"/>
      <c r="H18" s="1961"/>
      <c r="I18" s="1961"/>
      <c r="J18" s="1961"/>
      <c r="K18" s="538"/>
      <c r="L18" s="1961"/>
      <c r="M18" s="1961"/>
      <c r="N18" s="1961"/>
      <c r="O18" s="1961"/>
      <c r="P18" s="1961"/>
      <c r="Q18" s="1961"/>
      <c r="R18" s="1961"/>
      <c r="S18" s="1961"/>
      <c r="T18" s="1961"/>
      <c r="U18" s="1962"/>
      <c r="V18" s="1962"/>
      <c r="W18" s="1961"/>
      <c r="X18" s="1961"/>
      <c r="Y18" s="1961"/>
      <c r="Z18" s="538"/>
      <c r="AA18" s="1961"/>
      <c r="AB18" s="538"/>
      <c r="AC18" s="1961"/>
      <c r="AD18" s="538"/>
      <c r="AE18" s="1961"/>
      <c r="AF18" s="538"/>
      <c r="AG18" s="1961"/>
      <c r="AH18" s="538"/>
      <c r="AI18" s="1961"/>
      <c r="AJ18" s="538"/>
      <c r="AK18" s="1961"/>
      <c r="AL18" s="538"/>
      <c r="AM18" s="1961"/>
      <c r="AN18" s="538"/>
      <c r="AO18" s="1961"/>
      <c r="AP18" s="538"/>
      <c r="AQ18" s="1961"/>
      <c r="AR18" s="538"/>
      <c r="AS18" s="1961"/>
      <c r="AT18" s="538"/>
      <c r="AU18" s="1961"/>
      <c r="AV18" s="538"/>
      <c r="AW18" s="1961"/>
      <c r="AX18" s="1961"/>
      <c r="AY18" s="1961"/>
      <c r="AZ18" s="1961"/>
      <c r="BA18" s="1961"/>
      <c r="BB18" s="1961"/>
      <c r="BC18" s="1961"/>
      <c r="BD18" s="538"/>
      <c r="BE18" s="1961"/>
      <c r="BF18" s="538"/>
      <c r="BG18" s="1963"/>
    </row>
    <row r="19" spans="1:59" s="3" customFormat="1" ht="42.75" x14ac:dyDescent="0.2">
      <c r="A19" s="4233"/>
      <c r="B19" s="4227"/>
      <c r="C19" s="4340"/>
      <c r="D19" s="4341"/>
      <c r="E19" s="3042"/>
      <c r="F19" s="3043"/>
      <c r="G19" s="2808">
        <v>183</v>
      </c>
      <c r="H19" s="4268" t="s">
        <v>1459</v>
      </c>
      <c r="I19" s="4268" t="s">
        <v>1460</v>
      </c>
      <c r="J19" s="4344">
        <v>1</v>
      </c>
      <c r="K19" s="4352">
        <v>0.3</v>
      </c>
      <c r="L19" s="4256" t="s">
        <v>1461</v>
      </c>
      <c r="M19" s="4259">
        <v>103</v>
      </c>
      <c r="N19" s="4268" t="s">
        <v>1462</v>
      </c>
      <c r="O19" s="3916">
        <v>100</v>
      </c>
      <c r="P19" s="4271">
        <v>73000000</v>
      </c>
      <c r="Q19" s="4268" t="s">
        <v>1463</v>
      </c>
      <c r="R19" s="3056" t="s">
        <v>1464</v>
      </c>
      <c r="S19" s="2116" t="s">
        <v>1465</v>
      </c>
      <c r="T19" s="1638">
        <v>40000000</v>
      </c>
      <c r="U19" s="1639">
        <f>2916666+1900000</f>
        <v>4816666</v>
      </c>
      <c r="V19" s="1639">
        <f>2916666+1900000</f>
        <v>4816666</v>
      </c>
      <c r="W19" s="4274">
        <v>20</v>
      </c>
      <c r="X19" s="4274" t="s">
        <v>130</v>
      </c>
      <c r="Y19" s="3949"/>
      <c r="Z19" s="3958"/>
      <c r="AA19" s="3949"/>
      <c r="AB19" s="3958"/>
      <c r="AC19" s="3949"/>
      <c r="AD19" s="3958"/>
      <c r="AE19" s="4267"/>
      <c r="AF19" s="3954"/>
      <c r="AG19" s="4287">
        <v>60</v>
      </c>
      <c r="AH19" s="3958">
        <v>60</v>
      </c>
      <c r="AI19" s="4267"/>
      <c r="AJ19" s="3954"/>
      <c r="AK19" s="4267"/>
      <c r="AL19" s="3954"/>
      <c r="AM19" s="4267"/>
      <c r="AN19" s="3954"/>
      <c r="AO19" s="4267"/>
      <c r="AP19" s="3954"/>
      <c r="AQ19" s="4267"/>
      <c r="AR19" s="3954"/>
      <c r="AS19" s="4267"/>
      <c r="AT19" s="3954"/>
      <c r="AU19" s="4300"/>
      <c r="AV19" s="2927"/>
      <c r="AW19" s="3915">
        <v>4</v>
      </c>
      <c r="AX19" s="4282">
        <v>10316666</v>
      </c>
      <c r="AY19" s="4282">
        <f>AX19</f>
        <v>10316666</v>
      </c>
      <c r="AZ19" s="3915">
        <f>AY19/AX19</f>
        <v>1</v>
      </c>
      <c r="BA19" s="3915">
        <v>20</v>
      </c>
      <c r="BB19" s="2707">
        <v>0</v>
      </c>
      <c r="BC19" s="4278">
        <v>42696</v>
      </c>
      <c r="BD19" s="2937">
        <v>42696</v>
      </c>
      <c r="BE19" s="4278">
        <v>42731</v>
      </c>
      <c r="BF19" s="2937">
        <v>42731</v>
      </c>
      <c r="BG19" s="4280" t="s">
        <v>1450</v>
      </c>
    </row>
    <row r="20" spans="1:59" s="3" customFormat="1" ht="71.25" x14ac:dyDescent="0.2">
      <c r="A20" s="4233"/>
      <c r="B20" s="4227"/>
      <c r="C20" s="4340"/>
      <c r="D20" s="4341"/>
      <c r="E20" s="3044"/>
      <c r="F20" s="3045"/>
      <c r="G20" s="2808"/>
      <c r="H20" s="4268"/>
      <c r="I20" s="4268"/>
      <c r="J20" s="4345"/>
      <c r="K20" s="4353"/>
      <c r="L20" s="4256"/>
      <c r="M20" s="4259"/>
      <c r="N20" s="4268"/>
      <c r="O20" s="3916"/>
      <c r="P20" s="4272"/>
      <c r="Q20" s="4268"/>
      <c r="R20" s="3980"/>
      <c r="S20" s="2107" t="s">
        <v>1466</v>
      </c>
      <c r="T20" s="1640">
        <v>25000000</v>
      </c>
      <c r="U20" s="1639">
        <v>0</v>
      </c>
      <c r="V20" s="1639">
        <v>0</v>
      </c>
      <c r="W20" s="4274"/>
      <c r="X20" s="4274"/>
      <c r="Y20" s="3949"/>
      <c r="Z20" s="3959"/>
      <c r="AA20" s="3949"/>
      <c r="AB20" s="3959"/>
      <c r="AC20" s="3949"/>
      <c r="AD20" s="3959"/>
      <c r="AE20" s="3969"/>
      <c r="AF20" s="3955"/>
      <c r="AG20" s="4288"/>
      <c r="AH20" s="3959"/>
      <c r="AI20" s="3969"/>
      <c r="AJ20" s="3955"/>
      <c r="AK20" s="3969"/>
      <c r="AL20" s="3955"/>
      <c r="AM20" s="3969"/>
      <c r="AN20" s="3955"/>
      <c r="AO20" s="3969"/>
      <c r="AP20" s="3955"/>
      <c r="AQ20" s="3969"/>
      <c r="AR20" s="3955"/>
      <c r="AS20" s="3969"/>
      <c r="AT20" s="3955"/>
      <c r="AU20" s="4303"/>
      <c r="AV20" s="3917"/>
      <c r="AW20" s="3916"/>
      <c r="AX20" s="4283"/>
      <c r="AY20" s="4283"/>
      <c r="AZ20" s="3916"/>
      <c r="BA20" s="3916"/>
      <c r="BB20" s="2708"/>
      <c r="BC20" s="4301"/>
      <c r="BD20" s="4302"/>
      <c r="BE20" s="4301"/>
      <c r="BF20" s="4302"/>
      <c r="BG20" s="4280"/>
    </row>
    <row r="21" spans="1:59" s="3" customFormat="1" ht="36.75" customHeight="1" x14ac:dyDescent="0.2">
      <c r="A21" s="4233"/>
      <c r="B21" s="4227"/>
      <c r="C21" s="4340"/>
      <c r="D21" s="4341"/>
      <c r="E21" s="3044"/>
      <c r="F21" s="3045"/>
      <c r="G21" s="2808"/>
      <c r="H21" s="4268"/>
      <c r="I21" s="4268"/>
      <c r="J21" s="4345"/>
      <c r="K21" s="4353"/>
      <c r="L21" s="4256"/>
      <c r="M21" s="4259"/>
      <c r="N21" s="4268"/>
      <c r="O21" s="3916"/>
      <c r="P21" s="4272"/>
      <c r="Q21" s="4268"/>
      <c r="R21" s="3980"/>
      <c r="S21" s="2107" t="s">
        <v>1467</v>
      </c>
      <c r="T21" s="1640">
        <v>3000000</v>
      </c>
      <c r="U21" s="1639">
        <v>2000000</v>
      </c>
      <c r="V21" s="1639">
        <v>2000000</v>
      </c>
      <c r="W21" s="4274"/>
      <c r="X21" s="4274"/>
      <c r="Y21" s="3949"/>
      <c r="Z21" s="3959"/>
      <c r="AA21" s="3949"/>
      <c r="AB21" s="3959"/>
      <c r="AC21" s="3949"/>
      <c r="AD21" s="3959"/>
      <c r="AE21" s="3969"/>
      <c r="AF21" s="3955"/>
      <c r="AG21" s="4288"/>
      <c r="AH21" s="3959"/>
      <c r="AI21" s="3969"/>
      <c r="AJ21" s="3955"/>
      <c r="AK21" s="3969"/>
      <c r="AL21" s="3955"/>
      <c r="AM21" s="3969"/>
      <c r="AN21" s="3955"/>
      <c r="AO21" s="3969"/>
      <c r="AP21" s="3955"/>
      <c r="AQ21" s="3969"/>
      <c r="AR21" s="3955"/>
      <c r="AS21" s="3969"/>
      <c r="AT21" s="3955"/>
      <c r="AU21" s="4303"/>
      <c r="AV21" s="3917"/>
      <c r="AW21" s="3916"/>
      <c r="AX21" s="4283"/>
      <c r="AY21" s="4283"/>
      <c r="AZ21" s="3916"/>
      <c r="BA21" s="3916"/>
      <c r="BB21" s="2708"/>
      <c r="BC21" s="4301"/>
      <c r="BD21" s="4302"/>
      <c r="BE21" s="4301"/>
      <c r="BF21" s="4302"/>
      <c r="BG21" s="4280"/>
    </row>
    <row r="22" spans="1:59" s="3" customFormat="1" ht="28.5" x14ac:dyDescent="0.2">
      <c r="A22" s="4233"/>
      <c r="B22" s="4227"/>
      <c r="C22" s="4340"/>
      <c r="D22" s="4341"/>
      <c r="E22" s="3044"/>
      <c r="F22" s="3045"/>
      <c r="G22" s="2816"/>
      <c r="H22" s="4269"/>
      <c r="I22" s="4269"/>
      <c r="J22" s="4345"/>
      <c r="K22" s="4354"/>
      <c r="L22" s="4257"/>
      <c r="M22" s="4260"/>
      <c r="N22" s="4269"/>
      <c r="O22" s="4285"/>
      <c r="P22" s="4272"/>
      <c r="Q22" s="4269"/>
      <c r="R22" s="3980"/>
      <c r="S22" s="2107" t="s">
        <v>1468</v>
      </c>
      <c r="T22" s="1640">
        <v>5000000</v>
      </c>
      <c r="U22" s="1639">
        <v>3500000</v>
      </c>
      <c r="V22" s="1639">
        <v>3500000</v>
      </c>
      <c r="W22" s="4275"/>
      <c r="X22" s="4275"/>
      <c r="Y22" s="4287"/>
      <c r="Z22" s="4289"/>
      <c r="AA22" s="4287"/>
      <c r="AB22" s="4289"/>
      <c r="AC22" s="4287"/>
      <c r="AD22" s="4289"/>
      <c r="AE22" s="3969"/>
      <c r="AF22" s="4298"/>
      <c r="AG22" s="4288"/>
      <c r="AH22" s="4289"/>
      <c r="AI22" s="3969"/>
      <c r="AJ22" s="4298"/>
      <c r="AK22" s="3969"/>
      <c r="AL22" s="4298"/>
      <c r="AM22" s="3969"/>
      <c r="AN22" s="4298"/>
      <c r="AO22" s="3969"/>
      <c r="AP22" s="4298"/>
      <c r="AQ22" s="3969"/>
      <c r="AR22" s="4298"/>
      <c r="AS22" s="3969"/>
      <c r="AT22" s="4298"/>
      <c r="AU22" s="4303"/>
      <c r="AV22" s="2928"/>
      <c r="AW22" s="4285"/>
      <c r="AX22" s="4284"/>
      <c r="AY22" s="4284"/>
      <c r="AZ22" s="4285"/>
      <c r="BA22" s="4285"/>
      <c r="BB22" s="2709"/>
      <c r="BC22" s="4301"/>
      <c r="BD22" s="4302"/>
      <c r="BE22" s="4301"/>
      <c r="BF22" s="4302"/>
      <c r="BG22" s="4281"/>
    </row>
    <row r="23" spans="1:59" s="3" customFormat="1" ht="48.75" customHeight="1" x14ac:dyDescent="0.2">
      <c r="A23" s="4233"/>
      <c r="B23" s="4227"/>
      <c r="C23" s="4340"/>
      <c r="D23" s="4341"/>
      <c r="E23" s="3044"/>
      <c r="F23" s="3045"/>
      <c r="G23" s="4290">
        <v>183</v>
      </c>
      <c r="H23" s="4292" t="s">
        <v>1459</v>
      </c>
      <c r="I23" s="4292" t="s">
        <v>1452</v>
      </c>
      <c r="J23" s="4290">
        <v>1</v>
      </c>
      <c r="K23" s="4294">
        <v>0.3</v>
      </c>
      <c r="L23" s="4290" t="s">
        <v>1469</v>
      </c>
      <c r="M23" s="4258">
        <v>104</v>
      </c>
      <c r="N23" s="3980" t="s">
        <v>1470</v>
      </c>
      <c r="O23" s="2707">
        <v>100</v>
      </c>
      <c r="P23" s="4296">
        <v>17000000</v>
      </c>
      <c r="Q23" s="3980" t="s">
        <v>1463</v>
      </c>
      <c r="R23" s="3054" t="s">
        <v>1464</v>
      </c>
      <c r="S23" s="2105" t="s">
        <v>1471</v>
      </c>
      <c r="T23" s="1639">
        <v>16000000</v>
      </c>
      <c r="U23" s="1639">
        <v>16000000</v>
      </c>
      <c r="V23" s="1639">
        <v>16000000</v>
      </c>
      <c r="W23" s="3915">
        <v>20</v>
      </c>
      <c r="X23" s="2707" t="s">
        <v>130</v>
      </c>
      <c r="Y23" s="3948">
        <v>22500</v>
      </c>
      <c r="Z23" s="3958">
        <v>22500</v>
      </c>
      <c r="AA23" s="3948">
        <v>27625</v>
      </c>
      <c r="AB23" s="3958">
        <v>27625</v>
      </c>
      <c r="AC23" s="3948"/>
      <c r="AD23" s="3958"/>
      <c r="AE23" s="3948"/>
      <c r="AF23" s="3958"/>
      <c r="AG23" s="3948">
        <v>420</v>
      </c>
      <c r="AH23" s="3954"/>
      <c r="AI23" s="3952"/>
      <c r="AJ23" s="3954"/>
      <c r="AK23" s="3952"/>
      <c r="AL23" s="3954"/>
      <c r="AM23" s="3952"/>
      <c r="AN23" s="3954"/>
      <c r="AO23" s="3952"/>
      <c r="AP23" s="3954"/>
      <c r="AQ23" s="3952"/>
      <c r="AR23" s="3954"/>
      <c r="AS23" s="3952"/>
      <c r="AT23" s="3954"/>
      <c r="AU23" s="4299"/>
      <c r="AV23" s="2927"/>
      <c r="AW23" s="3915">
        <v>2</v>
      </c>
      <c r="AX23" s="4306">
        <v>17000000</v>
      </c>
      <c r="AY23" s="4282">
        <f>AX23</f>
        <v>17000000</v>
      </c>
      <c r="AZ23" s="4308">
        <f>AY23/AX23</f>
        <v>1</v>
      </c>
      <c r="BA23" s="3915">
        <v>20</v>
      </c>
      <c r="BB23" s="2707" t="s">
        <v>1472</v>
      </c>
      <c r="BC23" s="4276">
        <v>42411</v>
      </c>
      <c r="BD23" s="2936">
        <v>42411</v>
      </c>
      <c r="BE23" s="4276">
        <v>42560</v>
      </c>
      <c r="BF23" s="2936">
        <v>42560</v>
      </c>
      <c r="BG23" s="4304" t="s">
        <v>1450</v>
      </c>
    </row>
    <row r="24" spans="1:59" s="20" customFormat="1" ht="81.75" customHeight="1" x14ac:dyDescent="0.2">
      <c r="A24" s="4233"/>
      <c r="B24" s="4227"/>
      <c r="C24" s="4340"/>
      <c r="D24" s="4341"/>
      <c r="E24" s="3046"/>
      <c r="F24" s="3047"/>
      <c r="G24" s="4291"/>
      <c r="H24" s="4293"/>
      <c r="I24" s="4293"/>
      <c r="J24" s="4291"/>
      <c r="K24" s="4295"/>
      <c r="L24" s="4291"/>
      <c r="M24" s="4260"/>
      <c r="N24" s="3980"/>
      <c r="O24" s="2709"/>
      <c r="P24" s="4297"/>
      <c r="Q24" s="3980"/>
      <c r="R24" s="3056"/>
      <c r="S24" s="2137" t="s">
        <v>1473</v>
      </c>
      <c r="T24" s="1642">
        <v>1000000</v>
      </c>
      <c r="U24" s="1642">
        <v>1000000</v>
      </c>
      <c r="V24" s="1642">
        <f>U24</f>
        <v>1000000</v>
      </c>
      <c r="W24" s="4285"/>
      <c r="X24" s="2709"/>
      <c r="Y24" s="4287"/>
      <c r="Z24" s="4289"/>
      <c r="AA24" s="4287"/>
      <c r="AB24" s="4289"/>
      <c r="AC24" s="4287"/>
      <c r="AD24" s="4289"/>
      <c r="AE24" s="4287"/>
      <c r="AF24" s="4289"/>
      <c r="AG24" s="4287"/>
      <c r="AH24" s="4298"/>
      <c r="AI24" s="4267"/>
      <c r="AJ24" s="4298"/>
      <c r="AK24" s="4267"/>
      <c r="AL24" s="4298"/>
      <c r="AM24" s="4267"/>
      <c r="AN24" s="4298"/>
      <c r="AO24" s="4267"/>
      <c r="AP24" s="4298"/>
      <c r="AQ24" s="4267"/>
      <c r="AR24" s="4298"/>
      <c r="AS24" s="4267"/>
      <c r="AT24" s="4298"/>
      <c r="AU24" s="4300"/>
      <c r="AV24" s="2928"/>
      <c r="AW24" s="4285"/>
      <c r="AX24" s="4307"/>
      <c r="AY24" s="4284"/>
      <c r="AZ24" s="4309"/>
      <c r="BA24" s="4285"/>
      <c r="BB24" s="2709"/>
      <c r="BC24" s="4285"/>
      <c r="BD24" s="2837"/>
      <c r="BE24" s="4285"/>
      <c r="BF24" s="2837"/>
      <c r="BG24" s="4305"/>
    </row>
    <row r="25" spans="1:59" ht="15" x14ac:dyDescent="0.2">
      <c r="A25" s="4233"/>
      <c r="B25" s="4227"/>
      <c r="C25" s="4340"/>
      <c r="D25" s="4341"/>
      <c r="E25" s="1971">
        <v>59</v>
      </c>
      <c r="F25" s="1972" t="s">
        <v>1474</v>
      </c>
      <c r="G25" s="1973"/>
      <c r="H25" s="1973"/>
      <c r="I25" s="1973"/>
      <c r="J25" s="1973"/>
      <c r="K25" s="599"/>
      <c r="L25" s="1973"/>
      <c r="M25" s="1973"/>
      <c r="N25" s="1973"/>
      <c r="O25" s="1973"/>
      <c r="P25" s="1973"/>
      <c r="Q25" s="1973"/>
      <c r="R25" s="1973"/>
      <c r="S25" s="1973"/>
      <c r="T25" s="1974"/>
      <c r="U25" s="1974"/>
      <c r="V25" s="1975"/>
      <c r="W25" s="1973"/>
      <c r="X25" s="1973"/>
      <c r="Y25" s="1973"/>
      <c r="Z25" s="599"/>
      <c r="AA25" s="1973"/>
      <c r="AB25" s="599"/>
      <c r="AC25" s="1973"/>
      <c r="AD25" s="599"/>
      <c r="AE25" s="1973"/>
      <c r="AF25" s="599"/>
      <c r="AG25" s="1973"/>
      <c r="AH25" s="599"/>
      <c r="AI25" s="1973"/>
      <c r="AJ25" s="599"/>
      <c r="AK25" s="1973"/>
      <c r="AL25" s="599"/>
      <c r="AM25" s="1973"/>
      <c r="AN25" s="599"/>
      <c r="AO25" s="1973"/>
      <c r="AP25" s="599"/>
      <c r="AQ25" s="1973"/>
      <c r="AR25" s="599"/>
      <c r="AS25" s="1973"/>
      <c r="AT25" s="599"/>
      <c r="AU25" s="1973"/>
      <c r="AV25" s="599"/>
      <c r="AW25" s="1973"/>
      <c r="AX25" s="1973"/>
      <c r="AY25" s="1973"/>
      <c r="AZ25" s="1973"/>
      <c r="BA25" s="1973"/>
      <c r="BB25" s="1973"/>
      <c r="BC25" s="1973"/>
      <c r="BD25" s="599"/>
      <c r="BE25" s="1973"/>
      <c r="BF25" s="599"/>
      <c r="BG25" s="1976"/>
    </row>
    <row r="26" spans="1:59" s="20" customFormat="1" ht="72.75" customHeight="1" x14ac:dyDescent="0.2">
      <c r="A26" s="4233"/>
      <c r="B26" s="4227"/>
      <c r="C26" s="4340"/>
      <c r="D26" s="4341"/>
      <c r="E26" s="4346"/>
      <c r="F26" s="4347"/>
      <c r="G26" s="545">
        <v>184</v>
      </c>
      <c r="H26" s="1776" t="s">
        <v>1475</v>
      </c>
      <c r="I26" s="1776" t="s">
        <v>1476</v>
      </c>
      <c r="J26" s="4164">
        <v>1</v>
      </c>
      <c r="K26" s="4350">
        <v>1</v>
      </c>
      <c r="L26" s="2446" t="s">
        <v>1477</v>
      </c>
      <c r="M26" s="1643">
        <v>105</v>
      </c>
      <c r="N26" s="2129" t="s">
        <v>1478</v>
      </c>
      <c r="O26" s="2097">
        <v>100</v>
      </c>
      <c r="P26" s="2134">
        <v>6500000</v>
      </c>
      <c r="Q26" s="3054" t="s">
        <v>1463</v>
      </c>
      <c r="R26" s="3054" t="s">
        <v>1479</v>
      </c>
      <c r="S26" s="2137" t="s">
        <v>1471</v>
      </c>
      <c r="T26" s="1644">
        <v>6500000</v>
      </c>
      <c r="U26" s="2455">
        <v>6500000</v>
      </c>
      <c r="V26" s="2455">
        <v>6500000</v>
      </c>
      <c r="W26" s="2415">
        <v>20</v>
      </c>
      <c r="X26" s="2097" t="s">
        <v>130</v>
      </c>
      <c r="Y26" s="2403">
        <v>64224</v>
      </c>
      <c r="Z26" s="2487">
        <v>64224</v>
      </c>
      <c r="AA26" s="2403">
        <v>72224</v>
      </c>
      <c r="AB26" s="2487">
        <v>72224</v>
      </c>
      <c r="AC26" s="2403">
        <v>27477</v>
      </c>
      <c r="AD26" s="2487">
        <v>27477</v>
      </c>
      <c r="AE26" s="1645"/>
      <c r="AF26" s="1646"/>
      <c r="AG26" s="1645"/>
      <c r="AH26" s="1646"/>
      <c r="AI26" s="1645"/>
      <c r="AJ26" s="1646"/>
      <c r="AK26" s="1645"/>
      <c r="AL26" s="1646"/>
      <c r="AM26" s="1645"/>
      <c r="AN26" s="1646"/>
      <c r="AO26" s="1645"/>
      <c r="AP26" s="1646"/>
      <c r="AQ26" s="1645"/>
      <c r="AR26" s="1646"/>
      <c r="AS26" s="1645"/>
      <c r="AT26" s="1646"/>
      <c r="AU26" s="1645"/>
      <c r="AV26" s="1646"/>
      <c r="AW26" s="2415">
        <v>1</v>
      </c>
      <c r="AX26" s="1644">
        <v>6500000</v>
      </c>
      <c r="AY26" s="1644">
        <v>6500000</v>
      </c>
      <c r="AZ26" s="2561">
        <f>+AY26/AX26</f>
        <v>1</v>
      </c>
      <c r="BA26" s="2415">
        <v>20</v>
      </c>
      <c r="BB26" s="2137" t="s">
        <v>1472</v>
      </c>
      <c r="BC26" s="965">
        <v>42411</v>
      </c>
      <c r="BD26" s="966">
        <v>42411</v>
      </c>
      <c r="BE26" s="965">
        <v>42560</v>
      </c>
      <c r="BF26" s="966">
        <v>42560</v>
      </c>
      <c r="BG26" s="2137" t="s">
        <v>1450</v>
      </c>
    </row>
    <row r="27" spans="1:59" s="20" customFormat="1" ht="93.75" customHeight="1" x14ac:dyDescent="0.2">
      <c r="A27" s="4233"/>
      <c r="B27" s="4227"/>
      <c r="C27" s="4340"/>
      <c r="D27" s="4341"/>
      <c r="E27" s="4348"/>
      <c r="F27" s="4349"/>
      <c r="G27" s="2446">
        <v>184</v>
      </c>
      <c r="H27" s="1777" t="s">
        <v>1475</v>
      </c>
      <c r="I27" s="1777" t="s">
        <v>1476</v>
      </c>
      <c r="J27" s="4165"/>
      <c r="K27" s="4351"/>
      <c r="L27" s="2446" t="s">
        <v>1480</v>
      </c>
      <c r="M27" s="1643">
        <v>106</v>
      </c>
      <c r="N27" s="2124" t="s">
        <v>1481</v>
      </c>
      <c r="O27" s="2097">
        <v>100</v>
      </c>
      <c r="P27" s="2134">
        <v>6000000</v>
      </c>
      <c r="Q27" s="3055"/>
      <c r="R27" s="3055"/>
      <c r="S27" s="2137" t="s">
        <v>1471</v>
      </c>
      <c r="T27" s="1644">
        <v>6000000</v>
      </c>
      <c r="U27" s="2455">
        <v>6000000</v>
      </c>
      <c r="V27" s="2455">
        <v>6000000</v>
      </c>
      <c r="W27" s="2415">
        <v>20</v>
      </c>
      <c r="X27" s="2097" t="s">
        <v>130</v>
      </c>
      <c r="Y27" s="2403">
        <v>64224</v>
      </c>
      <c r="Z27" s="2487">
        <v>64224</v>
      </c>
      <c r="AA27" s="2403">
        <v>72224</v>
      </c>
      <c r="AB27" s="2487">
        <v>72224</v>
      </c>
      <c r="AC27" s="2403">
        <v>27477</v>
      </c>
      <c r="AD27" s="2487">
        <v>27477</v>
      </c>
      <c r="AE27" s="1647"/>
      <c r="AF27" s="1648"/>
      <c r="AG27" s="1647"/>
      <c r="AH27" s="1648"/>
      <c r="AI27" s="1647"/>
      <c r="AJ27" s="1648"/>
      <c r="AK27" s="1647"/>
      <c r="AL27" s="1648"/>
      <c r="AM27" s="1647"/>
      <c r="AN27" s="1648"/>
      <c r="AO27" s="1647"/>
      <c r="AP27" s="1648"/>
      <c r="AQ27" s="1647"/>
      <c r="AR27" s="1648"/>
      <c r="AS27" s="1647"/>
      <c r="AT27" s="1648"/>
      <c r="AU27" s="1647"/>
      <c r="AV27" s="1648"/>
      <c r="AW27" s="2415">
        <v>1</v>
      </c>
      <c r="AX27" s="1644">
        <v>6000000</v>
      </c>
      <c r="AY27" s="1644">
        <v>6000000</v>
      </c>
      <c r="AZ27" s="2561">
        <f>+AY27/AX27</f>
        <v>1</v>
      </c>
      <c r="BA27" s="2415">
        <v>20</v>
      </c>
      <c r="BB27" s="2137" t="s">
        <v>1472</v>
      </c>
      <c r="BC27" s="965">
        <v>42411</v>
      </c>
      <c r="BD27" s="966">
        <v>42411</v>
      </c>
      <c r="BE27" s="965">
        <v>42560</v>
      </c>
      <c r="BF27" s="966">
        <v>42560</v>
      </c>
      <c r="BG27" s="2137" t="s">
        <v>1450</v>
      </c>
    </row>
    <row r="28" spans="1:59" s="20" customFormat="1" ht="86.25" customHeight="1" x14ac:dyDescent="0.2">
      <c r="A28" s="4233"/>
      <c r="B28" s="4227"/>
      <c r="C28" s="4340"/>
      <c r="D28" s="4341"/>
      <c r="E28" s="4348"/>
      <c r="F28" s="4349"/>
      <c r="G28" s="545">
        <v>186</v>
      </c>
      <c r="H28" s="1770" t="s">
        <v>1482</v>
      </c>
      <c r="I28" s="2129" t="s">
        <v>1483</v>
      </c>
      <c r="J28" s="545">
        <v>1</v>
      </c>
      <c r="K28" s="2385">
        <v>1</v>
      </c>
      <c r="L28" s="545" t="s">
        <v>1484</v>
      </c>
      <c r="M28" s="1649">
        <v>107</v>
      </c>
      <c r="N28" s="2129" t="s">
        <v>1485</v>
      </c>
      <c r="O28" s="2097">
        <v>100</v>
      </c>
      <c r="P28" s="2134">
        <v>10000000</v>
      </c>
      <c r="Q28" s="3055"/>
      <c r="R28" s="3055"/>
      <c r="S28" s="2137" t="s">
        <v>1471</v>
      </c>
      <c r="T28" s="1644">
        <v>10000000</v>
      </c>
      <c r="U28" s="2455">
        <v>10000000</v>
      </c>
      <c r="V28" s="2455">
        <v>10000000</v>
      </c>
      <c r="W28" s="2415">
        <v>20</v>
      </c>
      <c r="X28" s="2097" t="s">
        <v>130</v>
      </c>
      <c r="Y28" s="2403">
        <v>64224</v>
      </c>
      <c r="Z28" s="2487">
        <v>64224</v>
      </c>
      <c r="AA28" s="2403">
        <v>72224</v>
      </c>
      <c r="AB28" s="2487">
        <v>72224</v>
      </c>
      <c r="AC28" s="2403">
        <v>27477</v>
      </c>
      <c r="AD28" s="2487">
        <v>27477</v>
      </c>
      <c r="AE28" s="1647"/>
      <c r="AF28" s="1648"/>
      <c r="AG28" s="1647"/>
      <c r="AH28" s="1648"/>
      <c r="AI28" s="1647"/>
      <c r="AJ28" s="1648"/>
      <c r="AK28" s="1647"/>
      <c r="AL28" s="1648"/>
      <c r="AM28" s="1647"/>
      <c r="AN28" s="1648"/>
      <c r="AO28" s="1647"/>
      <c r="AP28" s="1648"/>
      <c r="AQ28" s="1647"/>
      <c r="AR28" s="1648"/>
      <c r="AS28" s="1647"/>
      <c r="AT28" s="1648"/>
      <c r="AU28" s="1647"/>
      <c r="AV28" s="1648"/>
      <c r="AW28" s="2415">
        <v>1</v>
      </c>
      <c r="AX28" s="1644">
        <v>10000000</v>
      </c>
      <c r="AY28" s="1644">
        <v>10000000</v>
      </c>
      <c r="AZ28" s="2561">
        <f>+AY28/AX28</f>
        <v>1</v>
      </c>
      <c r="BA28" s="2415">
        <v>20</v>
      </c>
      <c r="BB28" s="2137" t="s">
        <v>1472</v>
      </c>
      <c r="BC28" s="965" t="s">
        <v>1486</v>
      </c>
      <c r="BD28" s="966" t="s">
        <v>1486</v>
      </c>
      <c r="BE28" s="965">
        <v>42564</v>
      </c>
      <c r="BF28" s="966">
        <v>42564</v>
      </c>
      <c r="BG28" s="2137" t="s">
        <v>1450</v>
      </c>
    </row>
    <row r="29" spans="1:59" s="20" customFormat="1" ht="91.5" customHeight="1" x14ac:dyDescent="0.2">
      <c r="A29" s="4233"/>
      <c r="B29" s="4227"/>
      <c r="C29" s="4340"/>
      <c r="D29" s="4341"/>
      <c r="E29" s="4348"/>
      <c r="F29" s="4349"/>
      <c r="G29" s="545">
        <v>186</v>
      </c>
      <c r="H29" s="1770" t="s">
        <v>1487</v>
      </c>
      <c r="I29" s="2129" t="s">
        <v>1488</v>
      </c>
      <c r="J29" s="545">
        <v>1</v>
      </c>
      <c r="K29" s="2385">
        <v>1</v>
      </c>
      <c r="L29" s="545" t="s">
        <v>1489</v>
      </c>
      <c r="M29" s="1649">
        <v>108</v>
      </c>
      <c r="N29" s="2129" t="s">
        <v>1490</v>
      </c>
      <c r="O29" s="2137">
        <v>100</v>
      </c>
      <c r="P29" s="2133">
        <v>1000000</v>
      </c>
      <c r="Q29" s="3056"/>
      <c r="R29" s="3056"/>
      <c r="S29" s="2137" t="s">
        <v>1491</v>
      </c>
      <c r="T29" s="2133">
        <v>1000000</v>
      </c>
      <c r="U29" s="2109">
        <v>1000000</v>
      </c>
      <c r="V29" s="2109">
        <v>1000000</v>
      </c>
      <c r="W29" s="2415">
        <v>20</v>
      </c>
      <c r="X29" s="2097" t="s">
        <v>130</v>
      </c>
      <c r="Y29" s="2403">
        <v>64224</v>
      </c>
      <c r="Z29" s="2487">
        <v>64224</v>
      </c>
      <c r="AA29" s="2403">
        <v>72224</v>
      </c>
      <c r="AB29" s="2487">
        <v>72224</v>
      </c>
      <c r="AC29" s="2403">
        <v>27477</v>
      </c>
      <c r="AD29" s="2487">
        <v>27477</v>
      </c>
      <c r="AE29" s="1650"/>
      <c r="AF29" s="1651"/>
      <c r="AG29" s="1650"/>
      <c r="AH29" s="1651"/>
      <c r="AI29" s="1650"/>
      <c r="AJ29" s="1651"/>
      <c r="AK29" s="1650"/>
      <c r="AL29" s="1651"/>
      <c r="AM29" s="1650"/>
      <c r="AN29" s="1651"/>
      <c r="AO29" s="1650"/>
      <c r="AP29" s="1651"/>
      <c r="AQ29" s="1650"/>
      <c r="AR29" s="1651"/>
      <c r="AS29" s="1650"/>
      <c r="AT29" s="1651"/>
      <c r="AU29" s="1650"/>
      <c r="AV29" s="1651"/>
      <c r="AW29" s="2415">
        <v>1</v>
      </c>
      <c r="AX29" s="2133">
        <v>1000000</v>
      </c>
      <c r="AY29" s="2133">
        <v>1000000</v>
      </c>
      <c r="AZ29" s="2561">
        <f>+AY29/AX29</f>
        <v>1</v>
      </c>
      <c r="BA29" s="2415">
        <v>20</v>
      </c>
      <c r="BB29" s="2137" t="s">
        <v>1492</v>
      </c>
      <c r="BC29" s="965">
        <v>42524</v>
      </c>
      <c r="BD29" s="966">
        <v>42524</v>
      </c>
      <c r="BE29" s="965">
        <v>42649</v>
      </c>
      <c r="BF29" s="966">
        <v>42649</v>
      </c>
      <c r="BG29" s="2137" t="s">
        <v>1450</v>
      </c>
    </row>
    <row r="30" spans="1:59" s="20" customFormat="1" ht="86.25" customHeight="1" x14ac:dyDescent="0.2">
      <c r="A30" s="4233"/>
      <c r="B30" s="4227"/>
      <c r="C30" s="4340"/>
      <c r="D30" s="4341"/>
      <c r="E30" s="4348"/>
      <c r="F30" s="4349"/>
      <c r="G30" s="2581">
        <v>184</v>
      </c>
      <c r="H30" s="4316" t="s">
        <v>1475</v>
      </c>
      <c r="I30" s="2600" t="s">
        <v>1476</v>
      </c>
      <c r="J30" s="3891">
        <v>1</v>
      </c>
      <c r="K30" s="4310">
        <v>1</v>
      </c>
      <c r="L30" s="4312" t="s">
        <v>1493</v>
      </c>
      <c r="M30" s="4258">
        <v>109</v>
      </c>
      <c r="N30" s="4313" t="s">
        <v>1494</v>
      </c>
      <c r="O30" s="3890">
        <v>40</v>
      </c>
      <c r="P30" s="4272">
        <v>246500000</v>
      </c>
      <c r="Q30" s="4314" t="s">
        <v>1463</v>
      </c>
      <c r="R30" s="2600" t="s">
        <v>1479</v>
      </c>
      <c r="S30" s="2129" t="s">
        <v>1495</v>
      </c>
      <c r="T30" s="1640">
        <v>22442993</v>
      </c>
      <c r="U30" s="1639">
        <f>T30</f>
        <v>22442993</v>
      </c>
      <c r="V30" s="1639">
        <f>U30</f>
        <v>22442993</v>
      </c>
      <c r="W30" s="4273">
        <v>20</v>
      </c>
      <c r="X30" s="4273" t="s">
        <v>130</v>
      </c>
      <c r="Y30" s="1778"/>
      <c r="Z30" s="1779"/>
      <c r="AA30" s="1778"/>
      <c r="AB30" s="1779"/>
      <c r="AC30" s="1778"/>
      <c r="AD30" s="1779"/>
      <c r="AE30" s="1778"/>
      <c r="AF30" s="1779"/>
      <c r="AG30" s="1778"/>
      <c r="AH30" s="1779"/>
      <c r="AI30" s="1778"/>
      <c r="AJ30" s="1779"/>
      <c r="AK30" s="1778"/>
      <c r="AL30" s="1779"/>
      <c r="AM30" s="1778"/>
      <c r="AN30" s="1779"/>
      <c r="AO30" s="1778"/>
      <c r="AP30" s="1779"/>
      <c r="AQ30" s="1778"/>
      <c r="AR30" s="1779"/>
      <c r="AS30" s="1778"/>
      <c r="AT30" s="1779"/>
      <c r="AU30" s="1778"/>
      <c r="AV30" s="1779"/>
      <c r="AW30" s="3915">
        <v>3</v>
      </c>
      <c r="AX30" s="4282">
        <f>SUM(U30:U35)</f>
        <v>243165817</v>
      </c>
      <c r="AY30" s="4282">
        <f>SUM(V30:V35)</f>
        <v>243165817</v>
      </c>
      <c r="AZ30" s="4308">
        <f>+AY30/AX30</f>
        <v>1</v>
      </c>
      <c r="BA30" s="3915">
        <v>20</v>
      </c>
      <c r="BB30" s="2707" t="s">
        <v>1496</v>
      </c>
      <c r="BC30" s="4301">
        <v>42607</v>
      </c>
      <c r="BD30" s="4302">
        <v>42607</v>
      </c>
      <c r="BE30" s="4301">
        <v>42721</v>
      </c>
      <c r="BF30" s="4302">
        <v>42721</v>
      </c>
      <c r="BG30" s="4304" t="s">
        <v>1450</v>
      </c>
    </row>
    <row r="31" spans="1:59" s="20" customFormat="1" ht="91.5" customHeight="1" x14ac:dyDescent="0.2">
      <c r="A31" s="4233"/>
      <c r="B31" s="4227"/>
      <c r="C31" s="4340"/>
      <c r="D31" s="4341"/>
      <c r="E31" s="4348"/>
      <c r="F31" s="4349"/>
      <c r="G31" s="2583"/>
      <c r="H31" s="4318"/>
      <c r="I31" s="2636"/>
      <c r="J31" s="4224"/>
      <c r="K31" s="4311"/>
      <c r="L31" s="4256"/>
      <c r="M31" s="4259"/>
      <c r="N31" s="4313"/>
      <c r="O31" s="3890"/>
      <c r="P31" s="4272"/>
      <c r="Q31" s="4268"/>
      <c r="R31" s="2636"/>
      <c r="S31" s="2129" t="s">
        <v>1497</v>
      </c>
      <c r="T31" s="1644">
        <v>199999600</v>
      </c>
      <c r="U31" s="2455">
        <v>199999600</v>
      </c>
      <c r="V31" s="2455">
        <v>199999600</v>
      </c>
      <c r="W31" s="4274"/>
      <c r="X31" s="4274"/>
      <c r="Y31" s="1778"/>
      <c r="Z31" s="1779"/>
      <c r="AA31" s="1778"/>
      <c r="AB31" s="1779"/>
      <c r="AC31" s="1778"/>
      <c r="AD31" s="1779"/>
      <c r="AE31" s="1778"/>
      <c r="AF31" s="1779"/>
      <c r="AG31" s="1778"/>
      <c r="AH31" s="1779"/>
      <c r="AI31" s="1778"/>
      <c r="AJ31" s="1779"/>
      <c r="AK31" s="1778"/>
      <c r="AL31" s="1779"/>
      <c r="AM31" s="1778"/>
      <c r="AN31" s="1779"/>
      <c r="AO31" s="1778"/>
      <c r="AP31" s="1779"/>
      <c r="AQ31" s="1778"/>
      <c r="AR31" s="1779"/>
      <c r="AS31" s="1778"/>
      <c r="AT31" s="1779"/>
      <c r="AU31" s="1778"/>
      <c r="AV31" s="1779"/>
      <c r="AW31" s="3916"/>
      <c r="AX31" s="4283"/>
      <c r="AY31" s="4283"/>
      <c r="AZ31" s="4315"/>
      <c r="BA31" s="3916"/>
      <c r="BB31" s="3916"/>
      <c r="BC31" s="4301"/>
      <c r="BD31" s="4302"/>
      <c r="BE31" s="4301"/>
      <c r="BF31" s="4302"/>
      <c r="BG31" s="4304"/>
    </row>
    <row r="32" spans="1:59" s="3" customFormat="1" ht="91.5" customHeight="1" x14ac:dyDescent="0.2">
      <c r="A32" s="4233"/>
      <c r="B32" s="4227"/>
      <c r="C32" s="4340"/>
      <c r="D32" s="4341"/>
      <c r="E32" s="4348"/>
      <c r="F32" s="4349"/>
      <c r="G32" s="2119">
        <v>185</v>
      </c>
      <c r="H32" s="1768" t="s">
        <v>1482</v>
      </c>
      <c r="I32" s="1637" t="s">
        <v>1483</v>
      </c>
      <c r="J32" s="2383">
        <v>1</v>
      </c>
      <c r="K32" s="2179">
        <v>0.7</v>
      </c>
      <c r="L32" s="4256"/>
      <c r="M32" s="4259"/>
      <c r="N32" s="4313"/>
      <c r="O32" s="2463">
        <v>30</v>
      </c>
      <c r="P32" s="4272"/>
      <c r="Q32" s="4268"/>
      <c r="R32" s="1637" t="s">
        <v>1498</v>
      </c>
      <c r="S32" s="2386" t="s">
        <v>1482</v>
      </c>
      <c r="T32" s="1640">
        <v>8007407</v>
      </c>
      <c r="U32" s="1639">
        <f>4708624-35400</f>
        <v>4673224</v>
      </c>
      <c r="V32" s="1639">
        <f>4708624-35400</f>
        <v>4673224</v>
      </c>
      <c r="W32" s="4274"/>
      <c r="X32" s="4274"/>
      <c r="Y32" s="3915"/>
      <c r="Z32" s="2835"/>
      <c r="AA32" s="3915"/>
      <c r="AB32" s="2835"/>
      <c r="AC32" s="3915"/>
      <c r="AD32" s="2835"/>
      <c r="AE32" s="3915"/>
      <c r="AF32" s="2835"/>
      <c r="AG32" s="3915"/>
      <c r="AH32" s="2835"/>
      <c r="AI32" s="3915"/>
      <c r="AJ32" s="2835"/>
      <c r="AK32" s="3915"/>
      <c r="AL32" s="2835"/>
      <c r="AM32" s="3915"/>
      <c r="AN32" s="2835"/>
      <c r="AO32" s="3915"/>
      <c r="AP32" s="2835"/>
      <c r="AQ32" s="3915"/>
      <c r="AR32" s="2835"/>
      <c r="AS32" s="3915"/>
      <c r="AT32" s="2835"/>
      <c r="AU32" s="3915"/>
      <c r="AV32" s="2835"/>
      <c r="AW32" s="3916"/>
      <c r="AX32" s="4283"/>
      <c r="AY32" s="4283"/>
      <c r="AZ32" s="4315"/>
      <c r="BA32" s="3916"/>
      <c r="BB32" s="3916"/>
      <c r="BC32" s="4301"/>
      <c r="BD32" s="4302"/>
      <c r="BE32" s="4301"/>
      <c r="BF32" s="4302"/>
      <c r="BG32" s="4304"/>
    </row>
    <row r="33" spans="1:59" s="3" customFormat="1" ht="87.75" customHeight="1" x14ac:dyDescent="0.2">
      <c r="A33" s="4233"/>
      <c r="B33" s="4227"/>
      <c r="C33" s="4340"/>
      <c r="D33" s="4341"/>
      <c r="E33" s="4348"/>
      <c r="F33" s="4349"/>
      <c r="G33" s="2581">
        <v>186</v>
      </c>
      <c r="H33" s="4316" t="s">
        <v>1487</v>
      </c>
      <c r="I33" s="2600" t="s">
        <v>1488</v>
      </c>
      <c r="J33" s="3891">
        <v>1</v>
      </c>
      <c r="K33" s="4310">
        <v>1</v>
      </c>
      <c r="L33" s="4256"/>
      <c r="M33" s="4259"/>
      <c r="N33" s="4313"/>
      <c r="O33" s="3891">
        <v>30</v>
      </c>
      <c r="P33" s="4272"/>
      <c r="Q33" s="4268"/>
      <c r="R33" s="2600" t="s">
        <v>1499</v>
      </c>
      <c r="S33" s="2130" t="s">
        <v>1500</v>
      </c>
      <c r="T33" s="1652">
        <v>13435000</v>
      </c>
      <c r="U33" s="1780">
        <v>13435000</v>
      </c>
      <c r="V33" s="1780">
        <v>13435000</v>
      </c>
      <c r="W33" s="4274"/>
      <c r="X33" s="4274"/>
      <c r="Y33" s="3916"/>
      <c r="Z33" s="2836"/>
      <c r="AA33" s="3916"/>
      <c r="AB33" s="2836"/>
      <c r="AC33" s="3916"/>
      <c r="AD33" s="2836"/>
      <c r="AE33" s="3916"/>
      <c r="AF33" s="2836"/>
      <c r="AG33" s="3916"/>
      <c r="AH33" s="2836"/>
      <c r="AI33" s="3916"/>
      <c r="AJ33" s="2836"/>
      <c r="AK33" s="3916"/>
      <c r="AL33" s="2836"/>
      <c r="AM33" s="3916"/>
      <c r="AN33" s="2836"/>
      <c r="AO33" s="3916"/>
      <c r="AP33" s="2836"/>
      <c r="AQ33" s="3916"/>
      <c r="AR33" s="2836"/>
      <c r="AS33" s="3916"/>
      <c r="AT33" s="2836"/>
      <c r="AU33" s="3916"/>
      <c r="AV33" s="2836"/>
      <c r="AW33" s="3916"/>
      <c r="AX33" s="4283"/>
      <c r="AY33" s="4283"/>
      <c r="AZ33" s="4315"/>
      <c r="BA33" s="3916"/>
      <c r="BB33" s="3916"/>
      <c r="BC33" s="4301"/>
      <c r="BD33" s="4302"/>
      <c r="BE33" s="4301"/>
      <c r="BF33" s="4302"/>
      <c r="BG33" s="4304"/>
    </row>
    <row r="34" spans="1:59" s="3" customFormat="1" ht="33.75" customHeight="1" x14ac:dyDescent="0.2">
      <c r="A34" s="4233"/>
      <c r="B34" s="4227"/>
      <c r="C34" s="4340"/>
      <c r="D34" s="4341"/>
      <c r="E34" s="4348"/>
      <c r="F34" s="4349"/>
      <c r="G34" s="2582"/>
      <c r="H34" s="4317"/>
      <c r="I34" s="2601"/>
      <c r="J34" s="3926"/>
      <c r="K34" s="3960"/>
      <c r="L34" s="4256"/>
      <c r="M34" s="4259"/>
      <c r="N34" s="4313"/>
      <c r="O34" s="3926"/>
      <c r="P34" s="4272"/>
      <c r="Q34" s="4268"/>
      <c r="R34" s="2601"/>
      <c r="S34" s="2199" t="s">
        <v>1501</v>
      </c>
      <c r="T34" s="1652">
        <v>1000000</v>
      </c>
      <c r="U34" s="1780">
        <v>1000000</v>
      </c>
      <c r="V34" s="1780">
        <v>1000000</v>
      </c>
      <c r="W34" s="4274"/>
      <c r="X34" s="4274"/>
      <c r="Y34" s="3916"/>
      <c r="Z34" s="2836"/>
      <c r="AA34" s="3916"/>
      <c r="AB34" s="2836"/>
      <c r="AC34" s="3916"/>
      <c r="AD34" s="2836"/>
      <c r="AE34" s="3916"/>
      <c r="AF34" s="2836"/>
      <c r="AG34" s="3916"/>
      <c r="AH34" s="2836"/>
      <c r="AI34" s="3916"/>
      <c r="AJ34" s="2836"/>
      <c r="AK34" s="3916"/>
      <c r="AL34" s="2836"/>
      <c r="AM34" s="3916"/>
      <c r="AN34" s="2836"/>
      <c r="AO34" s="3916"/>
      <c r="AP34" s="2836"/>
      <c r="AQ34" s="3916"/>
      <c r="AR34" s="2836"/>
      <c r="AS34" s="3916"/>
      <c r="AT34" s="2836"/>
      <c r="AU34" s="3916"/>
      <c r="AV34" s="2836"/>
      <c r="AW34" s="3916"/>
      <c r="AX34" s="4283"/>
      <c r="AY34" s="4283"/>
      <c r="AZ34" s="4315"/>
      <c r="BA34" s="3916"/>
      <c r="BB34" s="3916"/>
      <c r="BC34" s="4301"/>
      <c r="BD34" s="4302"/>
      <c r="BE34" s="4301"/>
      <c r="BF34" s="4302"/>
      <c r="BG34" s="4304"/>
    </row>
    <row r="35" spans="1:59" s="20" customFormat="1" ht="35.25" customHeight="1" x14ac:dyDescent="0.2">
      <c r="A35" s="4233"/>
      <c r="B35" s="4227"/>
      <c r="C35" s="4340"/>
      <c r="D35" s="4341"/>
      <c r="E35" s="4348"/>
      <c r="F35" s="4349"/>
      <c r="G35" s="2583"/>
      <c r="H35" s="4318"/>
      <c r="I35" s="2636"/>
      <c r="J35" s="4224"/>
      <c r="K35" s="4311"/>
      <c r="L35" s="4256"/>
      <c r="M35" s="4259"/>
      <c r="N35" s="4313"/>
      <c r="O35" s="4224"/>
      <c r="P35" s="4272"/>
      <c r="Q35" s="4268"/>
      <c r="R35" s="2636"/>
      <c r="S35" s="2130" t="s">
        <v>1502</v>
      </c>
      <c r="T35" s="1652">
        <v>1615000</v>
      </c>
      <c r="U35" s="1780">
        <v>1615000</v>
      </c>
      <c r="V35" s="1780">
        <v>1615000</v>
      </c>
      <c r="W35" s="4274"/>
      <c r="X35" s="4274"/>
      <c r="Y35" s="4285"/>
      <c r="Z35" s="2837"/>
      <c r="AA35" s="4285"/>
      <c r="AB35" s="2837"/>
      <c r="AC35" s="4285"/>
      <c r="AD35" s="2837"/>
      <c r="AE35" s="4285"/>
      <c r="AF35" s="2837"/>
      <c r="AG35" s="4285"/>
      <c r="AH35" s="2837"/>
      <c r="AI35" s="4285"/>
      <c r="AJ35" s="2837"/>
      <c r="AK35" s="4285"/>
      <c r="AL35" s="2837"/>
      <c r="AM35" s="4285"/>
      <c r="AN35" s="2837"/>
      <c r="AO35" s="4285"/>
      <c r="AP35" s="2837"/>
      <c r="AQ35" s="4285"/>
      <c r="AR35" s="2837"/>
      <c r="AS35" s="4285"/>
      <c r="AT35" s="2837"/>
      <c r="AU35" s="4285"/>
      <c r="AV35" s="2837"/>
      <c r="AW35" s="3916"/>
      <c r="AX35" s="4283"/>
      <c r="AY35" s="4283"/>
      <c r="AZ35" s="4315"/>
      <c r="BA35" s="3916"/>
      <c r="BB35" s="3916"/>
      <c r="BC35" s="4301"/>
      <c r="BD35" s="4302"/>
      <c r="BE35" s="4301"/>
      <c r="BF35" s="4302"/>
      <c r="BG35" s="4304"/>
    </row>
    <row r="36" spans="1:59" s="3" customFormat="1" ht="15" x14ac:dyDescent="0.2">
      <c r="A36" s="4233"/>
      <c r="B36" s="4227"/>
      <c r="C36" s="4340"/>
      <c r="D36" s="4341"/>
      <c r="E36" s="580">
        <v>60</v>
      </c>
      <c r="F36" s="1977" t="s">
        <v>1503</v>
      </c>
      <c r="G36" s="1978"/>
      <c r="H36" s="1978"/>
      <c r="I36" s="1978"/>
      <c r="J36" s="1978"/>
      <c r="K36" s="643"/>
      <c r="L36" s="1978"/>
      <c r="M36" s="1978"/>
      <c r="N36" s="1978"/>
      <c r="O36" s="1978"/>
      <c r="P36" s="1978"/>
      <c r="Q36" s="1978"/>
      <c r="R36" s="1978"/>
      <c r="S36" s="1978">
        <v>797725</v>
      </c>
      <c r="T36" s="1979"/>
      <c r="U36" s="1979"/>
      <c r="V36" s="1962"/>
      <c r="W36" s="1978"/>
      <c r="X36" s="1978"/>
      <c r="Y36" s="1978"/>
      <c r="Z36" s="538"/>
      <c r="AA36" s="1978"/>
      <c r="AB36" s="538"/>
      <c r="AC36" s="1978"/>
      <c r="AD36" s="538"/>
      <c r="AE36" s="1978"/>
      <c r="AF36" s="538"/>
      <c r="AG36" s="1978"/>
      <c r="AH36" s="538"/>
      <c r="AI36" s="1978"/>
      <c r="AJ36" s="538"/>
      <c r="AK36" s="1978"/>
      <c r="AL36" s="538"/>
      <c r="AM36" s="1978"/>
      <c r="AN36" s="538"/>
      <c r="AO36" s="1978"/>
      <c r="AP36" s="538"/>
      <c r="AQ36" s="1978"/>
      <c r="AR36" s="538"/>
      <c r="AS36" s="1978"/>
      <c r="AT36" s="538"/>
      <c r="AU36" s="1978"/>
      <c r="AV36" s="538"/>
      <c r="AW36" s="1978"/>
      <c r="AX36" s="1978"/>
      <c r="AY36" s="1978"/>
      <c r="AZ36" s="1978"/>
      <c r="BA36" s="1978"/>
      <c r="BB36" s="1978"/>
      <c r="BC36" s="1978"/>
      <c r="BD36" s="538"/>
      <c r="BE36" s="1978"/>
      <c r="BF36" s="538"/>
      <c r="BG36" s="1980"/>
    </row>
    <row r="37" spans="1:59" s="3" customFormat="1" ht="92.25" customHeight="1" x14ac:dyDescent="0.2">
      <c r="A37" s="4233"/>
      <c r="B37" s="4227"/>
      <c r="C37" s="4340"/>
      <c r="D37" s="4341"/>
      <c r="E37" s="3042"/>
      <c r="F37" s="3043"/>
      <c r="G37" s="2182">
        <v>187</v>
      </c>
      <c r="H37" s="2471" t="s">
        <v>1504</v>
      </c>
      <c r="I37" s="2200" t="s">
        <v>1505</v>
      </c>
      <c r="J37" s="2463">
        <v>1</v>
      </c>
      <c r="K37" s="2466">
        <v>0.6</v>
      </c>
      <c r="L37" s="4256" t="s">
        <v>1506</v>
      </c>
      <c r="M37" s="4259">
        <v>110</v>
      </c>
      <c r="N37" s="4268" t="s">
        <v>1507</v>
      </c>
      <c r="O37" s="2463">
        <v>40</v>
      </c>
      <c r="P37" s="4271">
        <v>139350000</v>
      </c>
      <c r="Q37" s="4268" t="s">
        <v>1463</v>
      </c>
      <c r="R37" s="2200" t="s">
        <v>1508</v>
      </c>
      <c r="S37" s="2200" t="s">
        <v>1509</v>
      </c>
      <c r="T37" s="1653">
        <v>45449950</v>
      </c>
      <c r="U37" s="1653">
        <v>16425926</v>
      </c>
      <c r="V37" s="1653">
        <f>U37</f>
        <v>16425926</v>
      </c>
      <c r="W37" s="4274">
        <v>20</v>
      </c>
      <c r="X37" s="4274" t="s">
        <v>130</v>
      </c>
      <c r="Y37" s="3916"/>
      <c r="Z37" s="2835"/>
      <c r="AA37" s="3916"/>
      <c r="AB37" s="2835"/>
      <c r="AC37" s="3916">
        <v>350</v>
      </c>
      <c r="AD37" s="2835">
        <v>7</v>
      </c>
      <c r="AE37" s="3916">
        <v>600</v>
      </c>
      <c r="AF37" s="2835">
        <v>12</v>
      </c>
      <c r="AG37" s="3931"/>
      <c r="AH37" s="2927"/>
      <c r="AI37" s="3931"/>
      <c r="AJ37" s="2927"/>
      <c r="AK37" s="3916">
        <v>170</v>
      </c>
      <c r="AL37" s="2835">
        <v>3</v>
      </c>
      <c r="AM37" s="3916">
        <v>103</v>
      </c>
      <c r="AN37" s="2835">
        <v>2</v>
      </c>
      <c r="AO37" s="3931"/>
      <c r="AP37" s="2927"/>
      <c r="AQ37" s="3931"/>
      <c r="AR37" s="2927"/>
      <c r="AS37" s="3931"/>
      <c r="AT37" s="2927"/>
      <c r="AU37" s="3931"/>
      <c r="AV37" s="2927"/>
      <c r="AW37" s="3915">
        <v>11</v>
      </c>
      <c r="AX37" s="4306">
        <f>+U37+U38+U39+U40+U41</f>
        <v>109528251</v>
      </c>
      <c r="AY37" s="4306">
        <f>+V37+V38+V39+V40+V41</f>
        <v>109528251</v>
      </c>
      <c r="AZ37" s="4308">
        <f>AY37/AX37</f>
        <v>1</v>
      </c>
      <c r="BA37" s="3915">
        <v>20</v>
      </c>
      <c r="BB37" s="2707" t="s">
        <v>1510</v>
      </c>
      <c r="BC37" s="4278">
        <v>42585</v>
      </c>
      <c r="BD37" s="2937">
        <v>42585</v>
      </c>
      <c r="BE37" s="4278">
        <v>42735</v>
      </c>
      <c r="BF37" s="2937">
        <v>42735</v>
      </c>
      <c r="BG37" s="4281" t="s">
        <v>1450</v>
      </c>
    </row>
    <row r="38" spans="1:59" s="20" customFormat="1" ht="92.25" customHeight="1" x14ac:dyDescent="0.2">
      <c r="A38" s="4233"/>
      <c r="B38" s="4227"/>
      <c r="C38" s="4340"/>
      <c r="D38" s="4341"/>
      <c r="E38" s="3044"/>
      <c r="F38" s="3045"/>
      <c r="G38" s="2683">
        <v>188</v>
      </c>
      <c r="H38" s="4321" t="s">
        <v>1511</v>
      </c>
      <c r="I38" s="2626" t="s">
        <v>1512</v>
      </c>
      <c r="J38" s="3890">
        <v>2</v>
      </c>
      <c r="K38" s="4322">
        <v>2</v>
      </c>
      <c r="L38" s="4256"/>
      <c r="M38" s="4259"/>
      <c r="N38" s="4268"/>
      <c r="O38" s="3891">
        <v>30</v>
      </c>
      <c r="P38" s="4272"/>
      <c r="Q38" s="4268"/>
      <c r="R38" s="2666" t="s">
        <v>1513</v>
      </c>
      <c r="S38" s="2129" t="s">
        <v>1514</v>
      </c>
      <c r="T38" s="1766">
        <v>34446725</v>
      </c>
      <c r="U38" s="1766">
        <v>33649000</v>
      </c>
      <c r="V38" s="1653">
        <f>U38</f>
        <v>33649000</v>
      </c>
      <c r="W38" s="4274"/>
      <c r="X38" s="4274"/>
      <c r="Y38" s="3916"/>
      <c r="Z38" s="2836"/>
      <c r="AA38" s="3916"/>
      <c r="AB38" s="2836"/>
      <c r="AC38" s="3916"/>
      <c r="AD38" s="2836"/>
      <c r="AE38" s="3916"/>
      <c r="AF38" s="2836"/>
      <c r="AG38" s="3931"/>
      <c r="AH38" s="3917"/>
      <c r="AI38" s="3931"/>
      <c r="AJ38" s="3917"/>
      <c r="AK38" s="3916"/>
      <c r="AL38" s="2836"/>
      <c r="AM38" s="3916"/>
      <c r="AN38" s="2836"/>
      <c r="AO38" s="3931"/>
      <c r="AP38" s="3917"/>
      <c r="AQ38" s="3931"/>
      <c r="AR38" s="3917"/>
      <c r="AS38" s="3931"/>
      <c r="AT38" s="3917"/>
      <c r="AU38" s="3931"/>
      <c r="AV38" s="3917"/>
      <c r="AW38" s="3916"/>
      <c r="AX38" s="4320"/>
      <c r="AY38" s="4320"/>
      <c r="AZ38" s="4315"/>
      <c r="BA38" s="3916"/>
      <c r="BB38" s="3916"/>
      <c r="BC38" s="3989"/>
      <c r="BD38" s="4319"/>
      <c r="BE38" s="3989"/>
      <c r="BF38" s="4319"/>
      <c r="BG38" s="4304"/>
    </row>
    <row r="39" spans="1:59" s="20" customFormat="1" ht="92.25" customHeight="1" x14ac:dyDescent="0.2">
      <c r="A39" s="4233"/>
      <c r="B39" s="4227"/>
      <c r="C39" s="4340"/>
      <c r="D39" s="4341"/>
      <c r="E39" s="3044"/>
      <c r="F39" s="3045"/>
      <c r="G39" s="2683"/>
      <c r="H39" s="4321"/>
      <c r="I39" s="2626"/>
      <c r="J39" s="3890"/>
      <c r="K39" s="4322"/>
      <c r="L39" s="4256"/>
      <c r="M39" s="4259"/>
      <c r="N39" s="4268"/>
      <c r="O39" s="4224"/>
      <c r="P39" s="4272"/>
      <c r="Q39" s="4268"/>
      <c r="R39" s="2668"/>
      <c r="S39" s="2129" t="s">
        <v>1515</v>
      </c>
      <c r="T39" s="1767">
        <v>7703325</v>
      </c>
      <c r="U39" s="1653">
        <f>T39</f>
        <v>7703325</v>
      </c>
      <c r="V39" s="1653">
        <f>U39</f>
        <v>7703325</v>
      </c>
      <c r="W39" s="4274"/>
      <c r="X39" s="4274"/>
      <c r="Y39" s="3916"/>
      <c r="Z39" s="2836"/>
      <c r="AA39" s="3916"/>
      <c r="AB39" s="2836"/>
      <c r="AC39" s="3916"/>
      <c r="AD39" s="2836"/>
      <c r="AE39" s="3916"/>
      <c r="AF39" s="2836"/>
      <c r="AG39" s="3931"/>
      <c r="AH39" s="3917"/>
      <c r="AI39" s="3931"/>
      <c r="AJ39" s="3917"/>
      <c r="AK39" s="3916"/>
      <c r="AL39" s="2836"/>
      <c r="AM39" s="3916"/>
      <c r="AN39" s="2836"/>
      <c r="AO39" s="3931"/>
      <c r="AP39" s="3917"/>
      <c r="AQ39" s="3931"/>
      <c r="AR39" s="3917"/>
      <c r="AS39" s="3931"/>
      <c r="AT39" s="3917"/>
      <c r="AU39" s="3931"/>
      <c r="AV39" s="3917"/>
      <c r="AW39" s="3916"/>
      <c r="AX39" s="4320"/>
      <c r="AY39" s="4320"/>
      <c r="AZ39" s="4315"/>
      <c r="BA39" s="3916"/>
      <c r="BB39" s="3916"/>
      <c r="BC39" s="3989"/>
      <c r="BD39" s="4319"/>
      <c r="BE39" s="3989"/>
      <c r="BF39" s="4319"/>
      <c r="BG39" s="4304"/>
    </row>
    <row r="40" spans="1:59" s="3" customFormat="1" ht="92.25" customHeight="1" x14ac:dyDescent="0.2">
      <c r="A40" s="4233"/>
      <c r="B40" s="4227"/>
      <c r="C40" s="4340"/>
      <c r="D40" s="4341"/>
      <c r="E40" s="3044"/>
      <c r="F40" s="3045"/>
      <c r="G40" s="2645">
        <v>189</v>
      </c>
      <c r="H40" s="4274" t="s">
        <v>1516</v>
      </c>
      <c r="I40" s="2708" t="s">
        <v>1517</v>
      </c>
      <c r="J40" s="3916">
        <v>1</v>
      </c>
      <c r="K40" s="2836">
        <v>0.8</v>
      </c>
      <c r="L40" s="4256"/>
      <c r="M40" s="4259"/>
      <c r="N40" s="4268"/>
      <c r="O40" s="3915">
        <v>30</v>
      </c>
      <c r="P40" s="4272"/>
      <c r="Q40" s="4268"/>
      <c r="R40" s="3054" t="s">
        <v>1518</v>
      </c>
      <c r="S40" s="2386" t="s">
        <v>1519</v>
      </c>
      <c r="T40" s="1654">
        <f>40000000-T41+11750000</f>
        <v>42147675</v>
      </c>
      <c r="U40" s="1653">
        <f>T40</f>
        <v>42147675</v>
      </c>
      <c r="V40" s="1653">
        <f>U40</f>
        <v>42147675</v>
      </c>
      <c r="W40" s="4274"/>
      <c r="X40" s="4274"/>
      <c r="Y40" s="3916"/>
      <c r="Z40" s="2836"/>
      <c r="AA40" s="3916"/>
      <c r="AB40" s="2836"/>
      <c r="AC40" s="3916"/>
      <c r="AD40" s="2836"/>
      <c r="AE40" s="3916"/>
      <c r="AF40" s="2836"/>
      <c r="AG40" s="3931"/>
      <c r="AH40" s="3917"/>
      <c r="AI40" s="3931"/>
      <c r="AJ40" s="3917"/>
      <c r="AK40" s="3916"/>
      <c r="AL40" s="2836"/>
      <c r="AM40" s="3916"/>
      <c r="AN40" s="2836"/>
      <c r="AO40" s="3931"/>
      <c r="AP40" s="3917"/>
      <c r="AQ40" s="3931"/>
      <c r="AR40" s="3917"/>
      <c r="AS40" s="3931"/>
      <c r="AT40" s="3917"/>
      <c r="AU40" s="3931"/>
      <c r="AV40" s="3917"/>
      <c r="AW40" s="3916"/>
      <c r="AX40" s="4320"/>
      <c r="AY40" s="4320"/>
      <c r="AZ40" s="4315"/>
      <c r="BA40" s="3916"/>
      <c r="BB40" s="3916"/>
      <c r="BC40" s="3989"/>
      <c r="BD40" s="4319"/>
      <c r="BE40" s="3989"/>
      <c r="BF40" s="4319"/>
      <c r="BG40" s="4304"/>
    </row>
    <row r="41" spans="1:59" s="3" customFormat="1" ht="90.75" customHeight="1" x14ac:dyDescent="0.2">
      <c r="A41" s="4233"/>
      <c r="B41" s="4227"/>
      <c r="C41" s="4340"/>
      <c r="D41" s="4341"/>
      <c r="E41" s="3044"/>
      <c r="F41" s="3045"/>
      <c r="G41" s="2646"/>
      <c r="H41" s="4275"/>
      <c r="I41" s="2709"/>
      <c r="J41" s="4285"/>
      <c r="K41" s="2837"/>
      <c r="L41" s="4257"/>
      <c r="M41" s="4260"/>
      <c r="N41" s="4269"/>
      <c r="O41" s="4285"/>
      <c r="P41" s="4272"/>
      <c r="Q41" s="4269"/>
      <c r="R41" s="3056"/>
      <c r="S41" s="2386" t="s">
        <v>1520</v>
      </c>
      <c r="T41" s="1654">
        <v>9602325</v>
      </c>
      <c r="U41" s="1653">
        <v>9602325</v>
      </c>
      <c r="V41" s="1653">
        <f>U41</f>
        <v>9602325</v>
      </c>
      <c r="W41" s="4275"/>
      <c r="X41" s="4274"/>
      <c r="Y41" s="3916"/>
      <c r="Z41" s="2837"/>
      <c r="AA41" s="3916"/>
      <c r="AB41" s="2837"/>
      <c r="AC41" s="3916"/>
      <c r="AD41" s="2837"/>
      <c r="AE41" s="3916"/>
      <c r="AF41" s="2837"/>
      <c r="AG41" s="3931"/>
      <c r="AH41" s="2928"/>
      <c r="AI41" s="3931"/>
      <c r="AJ41" s="2928"/>
      <c r="AK41" s="3916"/>
      <c r="AL41" s="2837"/>
      <c r="AM41" s="4285"/>
      <c r="AN41" s="2837"/>
      <c r="AO41" s="4300"/>
      <c r="AP41" s="2928"/>
      <c r="AQ41" s="4300"/>
      <c r="AR41" s="2928"/>
      <c r="AS41" s="4300"/>
      <c r="AT41" s="2928"/>
      <c r="AU41" s="4300"/>
      <c r="AV41" s="2928"/>
      <c r="AW41" s="4285"/>
      <c r="AX41" s="4307"/>
      <c r="AY41" s="4307"/>
      <c r="AZ41" s="4309"/>
      <c r="BA41" s="4285"/>
      <c r="BB41" s="4285"/>
      <c r="BC41" s="3989"/>
      <c r="BD41" s="4319"/>
      <c r="BE41" s="3989"/>
      <c r="BF41" s="4319"/>
      <c r="BG41" s="4304"/>
    </row>
    <row r="42" spans="1:59" s="3" customFormat="1" ht="101.25" customHeight="1" x14ac:dyDescent="0.2">
      <c r="A42" s="4233"/>
      <c r="B42" s="4227"/>
      <c r="C42" s="4340"/>
      <c r="D42" s="4341"/>
      <c r="E42" s="3044"/>
      <c r="F42" s="3045"/>
      <c r="G42" s="2482">
        <v>189</v>
      </c>
      <c r="H42" s="2480" t="s">
        <v>1516</v>
      </c>
      <c r="I42" s="2386" t="s">
        <v>1517</v>
      </c>
      <c r="J42" s="2482">
        <v>1</v>
      </c>
      <c r="K42" s="1475">
        <v>0.8</v>
      </c>
      <c r="L42" s="2459" t="s">
        <v>1521</v>
      </c>
      <c r="M42" s="1655">
        <v>111</v>
      </c>
      <c r="N42" s="2386" t="s">
        <v>1522</v>
      </c>
      <c r="O42" s="2107">
        <v>100</v>
      </c>
      <c r="P42" s="2292">
        <v>19000000</v>
      </c>
      <c r="Q42" s="3054" t="s">
        <v>1463</v>
      </c>
      <c r="R42" s="3054" t="s">
        <v>1479</v>
      </c>
      <c r="S42" s="2107" t="s">
        <v>1471</v>
      </c>
      <c r="T42" s="1654">
        <v>19000000</v>
      </c>
      <c r="U42" s="1653">
        <v>19000000</v>
      </c>
      <c r="V42" s="1653">
        <v>19000000</v>
      </c>
      <c r="W42" s="2383">
        <v>20</v>
      </c>
      <c r="X42" s="2105" t="s">
        <v>130</v>
      </c>
      <c r="Y42" s="2107"/>
      <c r="Z42" s="2485"/>
      <c r="AA42" s="2107"/>
      <c r="AB42" s="2485"/>
      <c r="AC42" s="2383">
        <v>350</v>
      </c>
      <c r="AD42" s="2466">
        <v>350</v>
      </c>
      <c r="AE42" s="2383">
        <v>600</v>
      </c>
      <c r="AF42" s="2466">
        <v>600</v>
      </c>
      <c r="AG42" s="2479"/>
      <c r="AH42" s="2490"/>
      <c r="AI42" s="2479"/>
      <c r="AJ42" s="2490"/>
      <c r="AK42" s="2383">
        <v>170</v>
      </c>
      <c r="AL42" s="2466">
        <v>170</v>
      </c>
      <c r="AM42" s="2383">
        <v>103</v>
      </c>
      <c r="AN42" s="2466">
        <v>103</v>
      </c>
      <c r="AO42" s="2107"/>
      <c r="AP42" s="2485"/>
      <c r="AQ42" s="2107"/>
      <c r="AR42" s="2485"/>
      <c r="AS42" s="2107"/>
      <c r="AT42" s="2485"/>
      <c r="AU42" s="2107"/>
      <c r="AV42" s="4226"/>
      <c r="AW42" s="1656">
        <v>2</v>
      </c>
      <c r="AX42" s="1657">
        <v>19000000</v>
      </c>
      <c r="AY42" s="1657">
        <v>19000000</v>
      </c>
      <c r="AZ42" s="1658">
        <v>1</v>
      </c>
      <c r="BA42" s="1656">
        <v>20</v>
      </c>
      <c r="BB42" s="1656" t="s">
        <v>446</v>
      </c>
      <c r="BC42" s="1659">
        <v>42433</v>
      </c>
      <c r="BD42" s="1660">
        <v>42433</v>
      </c>
      <c r="BE42" s="1659">
        <v>42649</v>
      </c>
      <c r="BF42" s="1660">
        <v>42649</v>
      </c>
      <c r="BG42" s="2107" t="s">
        <v>1450</v>
      </c>
    </row>
    <row r="43" spans="1:59" s="3" customFormat="1" ht="84.75" customHeight="1" x14ac:dyDescent="0.2">
      <c r="A43" s="4233"/>
      <c r="B43" s="4227"/>
      <c r="C43" s="4340"/>
      <c r="D43" s="4341"/>
      <c r="E43" s="3044"/>
      <c r="F43" s="3045"/>
      <c r="G43" s="2482">
        <v>189</v>
      </c>
      <c r="H43" s="2480" t="s">
        <v>1504</v>
      </c>
      <c r="I43" s="2386" t="s">
        <v>1505</v>
      </c>
      <c r="J43" s="2482">
        <v>1</v>
      </c>
      <c r="K43" s="1475">
        <v>0.8</v>
      </c>
      <c r="L43" s="2459" t="s">
        <v>1523</v>
      </c>
      <c r="M43" s="1655">
        <v>112</v>
      </c>
      <c r="N43" s="2386" t="s">
        <v>1524</v>
      </c>
      <c r="O43" s="2107">
        <v>100</v>
      </c>
      <c r="P43" s="2292">
        <v>10000000</v>
      </c>
      <c r="Q43" s="3055"/>
      <c r="R43" s="3055"/>
      <c r="S43" s="2383" t="s">
        <v>1525</v>
      </c>
      <c r="T43" s="1654">
        <v>10000000</v>
      </c>
      <c r="U43" s="2455">
        <v>10000000</v>
      </c>
      <c r="V43" s="2455">
        <v>10000000</v>
      </c>
      <c r="W43" s="2383">
        <v>20</v>
      </c>
      <c r="X43" s="2105" t="s">
        <v>130</v>
      </c>
      <c r="Y43" s="2107"/>
      <c r="Z43" s="2485"/>
      <c r="AA43" s="2107"/>
      <c r="AB43" s="2485"/>
      <c r="AC43" s="2383">
        <v>350</v>
      </c>
      <c r="AD43" s="2466">
        <v>17</v>
      </c>
      <c r="AE43" s="2383">
        <v>600</v>
      </c>
      <c r="AF43" s="2466">
        <v>30</v>
      </c>
      <c r="AG43" s="2479"/>
      <c r="AH43" s="2490"/>
      <c r="AI43" s="2479"/>
      <c r="AJ43" s="2490"/>
      <c r="AK43" s="2383">
        <v>170</v>
      </c>
      <c r="AL43" s="2466">
        <v>8</v>
      </c>
      <c r="AM43" s="2383">
        <v>103</v>
      </c>
      <c r="AN43" s="2466">
        <v>5</v>
      </c>
      <c r="AO43" s="2107"/>
      <c r="AP43" s="2485"/>
      <c r="AQ43" s="2107"/>
      <c r="AR43" s="2485"/>
      <c r="AS43" s="2107"/>
      <c r="AT43" s="2485"/>
      <c r="AU43" s="2107"/>
      <c r="AV43" s="4226"/>
      <c r="AW43" s="1656">
        <v>1</v>
      </c>
      <c r="AX43" s="1657">
        <v>10000000</v>
      </c>
      <c r="AY43" s="1657">
        <v>10000000</v>
      </c>
      <c r="AZ43" s="1658">
        <f>AY43/AX43</f>
        <v>1</v>
      </c>
      <c r="BA43" s="1656">
        <v>20</v>
      </c>
      <c r="BB43" s="1656" t="s">
        <v>1510</v>
      </c>
      <c r="BC43" s="1659">
        <v>42530</v>
      </c>
      <c r="BD43" s="1660">
        <v>42530</v>
      </c>
      <c r="BE43" s="1659">
        <v>42649</v>
      </c>
      <c r="BF43" s="1660">
        <v>42649</v>
      </c>
      <c r="BG43" s="2107" t="s">
        <v>1450</v>
      </c>
    </row>
    <row r="44" spans="1:59" s="20" customFormat="1" ht="87.75" customHeight="1" x14ac:dyDescent="0.2">
      <c r="A44" s="4233"/>
      <c r="B44" s="4227"/>
      <c r="C44" s="4340"/>
      <c r="D44" s="4341"/>
      <c r="E44" s="3046"/>
      <c r="F44" s="3045"/>
      <c r="G44" s="2446">
        <v>188</v>
      </c>
      <c r="H44" s="1661" t="s">
        <v>1511</v>
      </c>
      <c r="I44" s="2130" t="s">
        <v>1512</v>
      </c>
      <c r="J44" s="2443">
        <v>2</v>
      </c>
      <c r="K44" s="2174">
        <v>2</v>
      </c>
      <c r="L44" s="2483" t="s">
        <v>1526</v>
      </c>
      <c r="M44" s="1781">
        <v>113</v>
      </c>
      <c r="N44" s="2130" t="s">
        <v>1527</v>
      </c>
      <c r="O44" s="2302">
        <v>100</v>
      </c>
      <c r="P44" s="2139">
        <v>6650000</v>
      </c>
      <c r="Q44" s="3055"/>
      <c r="R44" s="3055"/>
      <c r="S44" s="2403" t="s">
        <v>1471</v>
      </c>
      <c r="T44" s="1654">
        <v>6650000</v>
      </c>
      <c r="U44" s="2455">
        <v>1900000</v>
      </c>
      <c r="V44" s="2455">
        <v>1900000</v>
      </c>
      <c r="W44" s="2403">
        <v>20</v>
      </c>
      <c r="X44" s="2097" t="s">
        <v>130</v>
      </c>
      <c r="Y44" s="2137"/>
      <c r="Z44" s="2530"/>
      <c r="AA44" s="2137"/>
      <c r="AB44" s="2530"/>
      <c r="AC44" s="2415">
        <v>350</v>
      </c>
      <c r="AD44" s="2486">
        <v>100</v>
      </c>
      <c r="AE44" s="2415">
        <v>600</v>
      </c>
      <c r="AF44" s="2486">
        <v>171</v>
      </c>
      <c r="AG44" s="2416"/>
      <c r="AH44" s="2413"/>
      <c r="AI44" s="2416"/>
      <c r="AJ44" s="2413"/>
      <c r="AK44" s="2415">
        <v>170</v>
      </c>
      <c r="AL44" s="2486">
        <v>49</v>
      </c>
      <c r="AM44" s="2415">
        <v>103</v>
      </c>
      <c r="AN44" s="2486">
        <v>29</v>
      </c>
      <c r="AO44" s="2137"/>
      <c r="AP44" s="2530"/>
      <c r="AQ44" s="2137"/>
      <c r="AR44" s="2530"/>
      <c r="AS44" s="2137"/>
      <c r="AT44" s="2530"/>
      <c r="AU44" s="2137"/>
      <c r="AV44" s="4226"/>
      <c r="AW44" s="2428">
        <v>1</v>
      </c>
      <c r="AX44" s="1662">
        <f>U44</f>
        <v>1900000</v>
      </c>
      <c r="AY44" s="1662">
        <v>1900000</v>
      </c>
      <c r="AZ44" s="1663">
        <f>+AY44/AX44</f>
        <v>1</v>
      </c>
      <c r="BA44" s="2543">
        <v>20</v>
      </c>
      <c r="BB44" s="2543" t="s">
        <v>446</v>
      </c>
      <c r="BC44" s="1664">
        <v>42447</v>
      </c>
      <c r="BD44" s="1665">
        <v>42447</v>
      </c>
      <c r="BE44" s="1664">
        <v>42551</v>
      </c>
      <c r="BF44" s="1665">
        <v>42551</v>
      </c>
      <c r="BG44" s="2137" t="s">
        <v>1450</v>
      </c>
    </row>
    <row r="45" spans="1:59" ht="15" x14ac:dyDescent="0.2">
      <c r="A45" s="4233"/>
      <c r="B45" s="4227"/>
      <c r="C45" s="4340"/>
      <c r="D45" s="4341"/>
      <c r="E45" s="580">
        <v>61</v>
      </c>
      <c r="F45" s="1977" t="s">
        <v>1528</v>
      </c>
      <c r="G45" s="1978"/>
      <c r="H45" s="1978"/>
      <c r="I45" s="1978"/>
      <c r="J45" s="1978"/>
      <c r="K45" s="538"/>
      <c r="L45" s="1978"/>
      <c r="M45" s="1978"/>
      <c r="N45" s="1978"/>
      <c r="O45" s="1978"/>
      <c r="P45" s="1978"/>
      <c r="Q45" s="1978"/>
      <c r="R45" s="1978"/>
      <c r="S45" s="1978"/>
      <c r="T45" s="1978"/>
      <c r="U45" s="1962"/>
      <c r="V45" s="1962"/>
      <c r="W45" s="1978"/>
      <c r="X45" s="1978"/>
      <c r="Y45" s="1978"/>
      <c r="Z45" s="643"/>
      <c r="AA45" s="1978"/>
      <c r="AB45" s="538"/>
      <c r="AC45" s="1978"/>
      <c r="AD45" s="538"/>
      <c r="AE45" s="1978"/>
      <c r="AF45" s="538"/>
      <c r="AG45" s="1978"/>
      <c r="AH45" s="538"/>
      <c r="AI45" s="1978"/>
      <c r="AJ45" s="538"/>
      <c r="AK45" s="1978"/>
      <c r="AL45" s="538"/>
      <c r="AM45" s="1978"/>
      <c r="AN45" s="538"/>
      <c r="AO45" s="1978"/>
      <c r="AP45" s="538"/>
      <c r="AQ45" s="1978"/>
      <c r="AR45" s="538"/>
      <c r="AS45" s="1978"/>
      <c r="AT45" s="538"/>
      <c r="AU45" s="1978"/>
      <c r="AV45" s="538"/>
      <c r="AW45" s="1978"/>
      <c r="AX45" s="1978"/>
      <c r="AY45" s="1978"/>
      <c r="AZ45" s="1978"/>
      <c r="BA45" s="1978"/>
      <c r="BB45" s="1978"/>
      <c r="BC45" s="1978"/>
      <c r="BD45" s="538"/>
      <c r="BE45" s="1978"/>
      <c r="BF45" s="538"/>
      <c r="BG45" s="1980"/>
    </row>
    <row r="46" spans="1:59" s="3" customFormat="1" ht="78" customHeight="1" x14ac:dyDescent="0.2">
      <c r="A46" s="4233"/>
      <c r="B46" s="4227"/>
      <c r="C46" s="4340"/>
      <c r="D46" s="4341"/>
      <c r="E46" s="3042"/>
      <c r="F46" s="3045"/>
      <c r="G46" s="2808">
        <v>190</v>
      </c>
      <c r="H46" s="4268" t="s">
        <v>1529</v>
      </c>
      <c r="I46" s="4268" t="s">
        <v>1530</v>
      </c>
      <c r="J46" s="4291">
        <v>1</v>
      </c>
      <c r="K46" s="4294">
        <v>0.6</v>
      </c>
      <c r="L46" s="4256" t="s">
        <v>1531</v>
      </c>
      <c r="M46" s="4259">
        <v>114</v>
      </c>
      <c r="N46" s="4268" t="s">
        <v>1532</v>
      </c>
      <c r="O46" s="3916">
        <v>100</v>
      </c>
      <c r="P46" s="4271">
        <v>150400000</v>
      </c>
      <c r="Q46" s="4323" t="s">
        <v>1463</v>
      </c>
      <c r="R46" s="3055" t="s">
        <v>1533</v>
      </c>
      <c r="S46" s="2200" t="s">
        <v>1534</v>
      </c>
      <c r="T46" s="1666">
        <v>23866667</v>
      </c>
      <c r="U46" s="1639">
        <f>12800000+6400000+4666667</f>
        <v>23866667</v>
      </c>
      <c r="V46" s="1639">
        <f>12800000+6400000+4666667</f>
        <v>23866667</v>
      </c>
      <c r="W46" s="4274">
        <v>20</v>
      </c>
      <c r="X46" s="4274" t="s">
        <v>130</v>
      </c>
      <c r="Y46" s="4325">
        <v>137</v>
      </c>
      <c r="Z46" s="4327">
        <v>5</v>
      </c>
      <c r="AA46" s="4325">
        <v>1365</v>
      </c>
      <c r="AB46" s="4327">
        <v>51</v>
      </c>
      <c r="AC46" s="4325">
        <v>2122</v>
      </c>
      <c r="AD46" s="4327">
        <v>80</v>
      </c>
      <c r="AE46" s="4325">
        <v>5382</v>
      </c>
      <c r="AF46" s="4327">
        <v>220</v>
      </c>
      <c r="AG46" s="4325">
        <v>7891</v>
      </c>
      <c r="AH46" s="4327">
        <v>297</v>
      </c>
      <c r="AI46" s="4300"/>
      <c r="AJ46" s="2927"/>
      <c r="AK46" s="4300"/>
      <c r="AL46" s="2927"/>
      <c r="AM46" s="3931"/>
      <c r="AN46" s="2927"/>
      <c r="AO46" s="3931"/>
      <c r="AP46" s="2927"/>
      <c r="AQ46" s="3931"/>
      <c r="AR46" s="2927"/>
      <c r="AS46" s="3931"/>
      <c r="AT46" s="2927"/>
      <c r="AU46" s="3931"/>
      <c r="AV46" s="2927"/>
      <c r="AW46" s="3915">
        <v>12</v>
      </c>
      <c r="AX46" s="4306">
        <f>+U46+U47+U48+U49+U50+U51</f>
        <v>74617073</v>
      </c>
      <c r="AY46" s="4306">
        <f>+V46+V47+V48+V49+V50+V51</f>
        <v>74617073</v>
      </c>
      <c r="AZ46" s="4308">
        <f>+AY46/AX46</f>
        <v>1</v>
      </c>
      <c r="BA46" s="3915">
        <v>20</v>
      </c>
      <c r="BB46" s="2707" t="s">
        <v>1492</v>
      </c>
      <c r="BC46" s="4278">
        <v>42604</v>
      </c>
      <c r="BD46" s="2937">
        <v>42604</v>
      </c>
      <c r="BE46" s="4278">
        <v>42726</v>
      </c>
      <c r="BF46" s="2937">
        <v>42726</v>
      </c>
      <c r="BG46" s="4281" t="s">
        <v>1450</v>
      </c>
    </row>
    <row r="47" spans="1:59" s="3" customFormat="1" ht="63" customHeight="1" x14ac:dyDescent="0.2">
      <c r="A47" s="4233"/>
      <c r="B47" s="4227"/>
      <c r="C47" s="4340"/>
      <c r="D47" s="4341"/>
      <c r="E47" s="3044"/>
      <c r="F47" s="3045"/>
      <c r="G47" s="2808"/>
      <c r="H47" s="4268"/>
      <c r="I47" s="4268"/>
      <c r="J47" s="4330"/>
      <c r="K47" s="4339"/>
      <c r="L47" s="4256"/>
      <c r="M47" s="4259"/>
      <c r="N47" s="4268"/>
      <c r="O47" s="3916"/>
      <c r="P47" s="4272"/>
      <c r="Q47" s="4323"/>
      <c r="R47" s="3055"/>
      <c r="S47" s="2386" t="s">
        <v>1535</v>
      </c>
      <c r="T47" s="1667">
        <v>17600000</v>
      </c>
      <c r="U47" s="1639">
        <v>3833333</v>
      </c>
      <c r="V47" s="1639">
        <v>3833333</v>
      </c>
      <c r="W47" s="4274"/>
      <c r="X47" s="4274"/>
      <c r="Y47" s="4326"/>
      <c r="Z47" s="4328"/>
      <c r="AA47" s="4326"/>
      <c r="AB47" s="4328"/>
      <c r="AC47" s="4326"/>
      <c r="AD47" s="4328"/>
      <c r="AE47" s="4326"/>
      <c r="AF47" s="4328"/>
      <c r="AG47" s="4326"/>
      <c r="AH47" s="4328"/>
      <c r="AI47" s="4303"/>
      <c r="AJ47" s="3917"/>
      <c r="AK47" s="4303"/>
      <c r="AL47" s="3917"/>
      <c r="AM47" s="3931"/>
      <c r="AN47" s="3917"/>
      <c r="AO47" s="3931"/>
      <c r="AP47" s="3917"/>
      <c r="AQ47" s="3931"/>
      <c r="AR47" s="3917"/>
      <c r="AS47" s="3931"/>
      <c r="AT47" s="3917"/>
      <c r="AU47" s="3931"/>
      <c r="AV47" s="3917"/>
      <c r="AW47" s="3916"/>
      <c r="AX47" s="4320"/>
      <c r="AY47" s="4320"/>
      <c r="AZ47" s="4315"/>
      <c r="BA47" s="3916"/>
      <c r="BB47" s="2708"/>
      <c r="BC47" s="3989"/>
      <c r="BD47" s="4319"/>
      <c r="BE47" s="3989"/>
      <c r="BF47" s="4319"/>
      <c r="BG47" s="4304"/>
    </row>
    <row r="48" spans="1:59" s="3" customFormat="1" ht="61.5" customHeight="1" x14ac:dyDescent="0.2">
      <c r="A48" s="4233"/>
      <c r="B48" s="4227"/>
      <c r="C48" s="4340"/>
      <c r="D48" s="4341"/>
      <c r="E48" s="3044"/>
      <c r="F48" s="3045"/>
      <c r="G48" s="2808"/>
      <c r="H48" s="4268"/>
      <c r="I48" s="4268"/>
      <c r="J48" s="4330"/>
      <c r="K48" s="4339"/>
      <c r="L48" s="4256"/>
      <c r="M48" s="4259"/>
      <c r="N48" s="4268"/>
      <c r="O48" s="3916"/>
      <c r="P48" s="4272"/>
      <c r="Q48" s="4323"/>
      <c r="R48" s="3055"/>
      <c r="S48" s="1413" t="s">
        <v>1536</v>
      </c>
      <c r="T48" s="1667">
        <v>7600000</v>
      </c>
      <c r="U48" s="1639">
        <v>7600000</v>
      </c>
      <c r="V48" s="1639">
        <v>7600000</v>
      </c>
      <c r="W48" s="4274"/>
      <c r="X48" s="4274"/>
      <c r="Y48" s="4326"/>
      <c r="Z48" s="4328"/>
      <c r="AA48" s="4326"/>
      <c r="AB48" s="4328"/>
      <c r="AC48" s="4326"/>
      <c r="AD48" s="4328"/>
      <c r="AE48" s="4326"/>
      <c r="AF48" s="4328"/>
      <c r="AG48" s="4326"/>
      <c r="AH48" s="4328"/>
      <c r="AI48" s="4303"/>
      <c r="AJ48" s="3917"/>
      <c r="AK48" s="4303"/>
      <c r="AL48" s="3917"/>
      <c r="AM48" s="3931"/>
      <c r="AN48" s="3917"/>
      <c r="AO48" s="3931"/>
      <c r="AP48" s="3917"/>
      <c r="AQ48" s="3931"/>
      <c r="AR48" s="3917"/>
      <c r="AS48" s="3931"/>
      <c r="AT48" s="3917"/>
      <c r="AU48" s="3931"/>
      <c r="AV48" s="3917"/>
      <c r="AW48" s="3916"/>
      <c r="AX48" s="4320"/>
      <c r="AY48" s="4320"/>
      <c r="AZ48" s="4315"/>
      <c r="BA48" s="3916"/>
      <c r="BB48" s="2708"/>
      <c r="BC48" s="3989"/>
      <c r="BD48" s="4319"/>
      <c r="BE48" s="3989"/>
      <c r="BF48" s="4319"/>
      <c r="BG48" s="4304"/>
    </row>
    <row r="49" spans="1:59" s="3" customFormat="1" ht="61.5" customHeight="1" x14ac:dyDescent="0.2">
      <c r="A49" s="4233"/>
      <c r="B49" s="4227"/>
      <c r="C49" s="4340"/>
      <c r="D49" s="4341"/>
      <c r="E49" s="3044"/>
      <c r="F49" s="3045"/>
      <c r="G49" s="2808"/>
      <c r="H49" s="4268"/>
      <c r="I49" s="4268"/>
      <c r="J49" s="4330"/>
      <c r="K49" s="4339"/>
      <c r="L49" s="4256"/>
      <c r="M49" s="4259"/>
      <c r="N49" s="4268"/>
      <c r="O49" s="3916"/>
      <c r="P49" s="4272"/>
      <c r="Q49" s="4323"/>
      <c r="R49" s="3055"/>
      <c r="S49" s="1413" t="s">
        <v>1537</v>
      </c>
      <c r="T49" s="1667">
        <v>620000</v>
      </c>
      <c r="U49" s="1639">
        <v>0</v>
      </c>
      <c r="V49" s="1639">
        <v>0</v>
      </c>
      <c r="W49" s="4274"/>
      <c r="X49" s="4274"/>
      <c r="Y49" s="4326"/>
      <c r="Z49" s="4328"/>
      <c r="AA49" s="4326"/>
      <c r="AB49" s="4328"/>
      <c r="AC49" s="4326"/>
      <c r="AD49" s="4328"/>
      <c r="AE49" s="4326"/>
      <c r="AF49" s="4328"/>
      <c r="AG49" s="4326"/>
      <c r="AH49" s="4328"/>
      <c r="AI49" s="4303"/>
      <c r="AJ49" s="3917"/>
      <c r="AK49" s="4303"/>
      <c r="AL49" s="3917"/>
      <c r="AM49" s="3931"/>
      <c r="AN49" s="3917"/>
      <c r="AO49" s="3931"/>
      <c r="AP49" s="3917"/>
      <c r="AQ49" s="3931"/>
      <c r="AR49" s="3917"/>
      <c r="AS49" s="3931"/>
      <c r="AT49" s="3917"/>
      <c r="AU49" s="3931"/>
      <c r="AV49" s="3917"/>
      <c r="AW49" s="3916"/>
      <c r="AX49" s="4320"/>
      <c r="AY49" s="4320"/>
      <c r="AZ49" s="4315"/>
      <c r="BA49" s="3916"/>
      <c r="BB49" s="2708"/>
      <c r="BC49" s="3989"/>
      <c r="BD49" s="4319"/>
      <c r="BE49" s="3989"/>
      <c r="BF49" s="4319"/>
      <c r="BG49" s="4304"/>
    </row>
    <row r="50" spans="1:59" s="3" customFormat="1" ht="61.5" customHeight="1" x14ac:dyDescent="0.2">
      <c r="A50" s="4233"/>
      <c r="B50" s="4227"/>
      <c r="C50" s="4340"/>
      <c r="D50" s="4341"/>
      <c r="E50" s="3044"/>
      <c r="F50" s="3045"/>
      <c r="G50" s="2808"/>
      <c r="H50" s="4268"/>
      <c r="I50" s="4268"/>
      <c r="J50" s="4330"/>
      <c r="K50" s="4339"/>
      <c r="L50" s="4256"/>
      <c r="M50" s="4259"/>
      <c r="N50" s="4268"/>
      <c r="O50" s="3916"/>
      <c r="P50" s="4272"/>
      <c r="Q50" s="4323"/>
      <c r="R50" s="3055"/>
      <c r="S50" s="1413" t="s">
        <v>1538</v>
      </c>
      <c r="T50" s="1667">
        <v>96681833</v>
      </c>
      <c r="U50" s="1639">
        <v>39317073</v>
      </c>
      <c r="V50" s="1639">
        <v>39317073</v>
      </c>
      <c r="W50" s="4274"/>
      <c r="X50" s="4274"/>
      <c r="Y50" s="4326"/>
      <c r="Z50" s="4328"/>
      <c r="AA50" s="4326"/>
      <c r="AB50" s="4328"/>
      <c r="AC50" s="4326"/>
      <c r="AD50" s="4328"/>
      <c r="AE50" s="4326"/>
      <c r="AF50" s="4328"/>
      <c r="AG50" s="4326"/>
      <c r="AH50" s="4328"/>
      <c r="AI50" s="4303"/>
      <c r="AJ50" s="3917"/>
      <c r="AK50" s="4303"/>
      <c r="AL50" s="3917"/>
      <c r="AM50" s="3931"/>
      <c r="AN50" s="3917"/>
      <c r="AO50" s="3931"/>
      <c r="AP50" s="3917"/>
      <c r="AQ50" s="3931"/>
      <c r="AR50" s="3917"/>
      <c r="AS50" s="3931"/>
      <c r="AT50" s="3917"/>
      <c r="AU50" s="3931"/>
      <c r="AV50" s="3917"/>
      <c r="AW50" s="3916"/>
      <c r="AX50" s="4320"/>
      <c r="AY50" s="4320"/>
      <c r="AZ50" s="4315"/>
      <c r="BA50" s="3916"/>
      <c r="BB50" s="2708"/>
      <c r="BC50" s="3989"/>
      <c r="BD50" s="4319"/>
      <c r="BE50" s="3989"/>
      <c r="BF50" s="4319"/>
      <c r="BG50" s="4304"/>
    </row>
    <row r="51" spans="1:59" s="3" customFormat="1" ht="46.5" customHeight="1" x14ac:dyDescent="0.2">
      <c r="A51" s="4233"/>
      <c r="B51" s="4227"/>
      <c r="C51" s="4340"/>
      <c r="D51" s="4341"/>
      <c r="E51" s="3044"/>
      <c r="F51" s="3045"/>
      <c r="G51" s="2816"/>
      <c r="H51" s="4269"/>
      <c r="I51" s="4269"/>
      <c r="J51" s="4330"/>
      <c r="K51" s="4295"/>
      <c r="L51" s="4257"/>
      <c r="M51" s="4260"/>
      <c r="N51" s="4269"/>
      <c r="O51" s="4285"/>
      <c r="P51" s="4272"/>
      <c r="Q51" s="4324"/>
      <c r="R51" s="3056"/>
      <c r="S51" s="1413" t="s">
        <v>1539</v>
      </c>
      <c r="T51" s="1667">
        <v>4031500</v>
      </c>
      <c r="U51" s="1639">
        <v>0</v>
      </c>
      <c r="V51" s="1639">
        <v>0</v>
      </c>
      <c r="W51" s="4275"/>
      <c r="X51" s="4275"/>
      <c r="Y51" s="4326"/>
      <c r="Z51" s="4329"/>
      <c r="AA51" s="4326"/>
      <c r="AB51" s="4329"/>
      <c r="AC51" s="4326"/>
      <c r="AD51" s="4329"/>
      <c r="AE51" s="4326"/>
      <c r="AF51" s="4329"/>
      <c r="AG51" s="4326"/>
      <c r="AH51" s="4329"/>
      <c r="AI51" s="4303"/>
      <c r="AJ51" s="2928"/>
      <c r="AK51" s="4303"/>
      <c r="AL51" s="2928"/>
      <c r="AM51" s="4300"/>
      <c r="AN51" s="2928"/>
      <c r="AO51" s="4300"/>
      <c r="AP51" s="2928"/>
      <c r="AQ51" s="4300"/>
      <c r="AR51" s="2928"/>
      <c r="AS51" s="4300"/>
      <c r="AT51" s="2928"/>
      <c r="AU51" s="4300"/>
      <c r="AV51" s="2928"/>
      <c r="AW51" s="4285"/>
      <c r="AX51" s="4307"/>
      <c r="AY51" s="4307"/>
      <c r="AZ51" s="4309"/>
      <c r="BA51" s="4285"/>
      <c r="BB51" s="2709"/>
      <c r="BC51" s="3989"/>
      <c r="BD51" s="4319"/>
      <c r="BE51" s="3989"/>
      <c r="BF51" s="4319"/>
      <c r="BG51" s="4304"/>
    </row>
    <row r="52" spans="1:59" s="3" customFormat="1" ht="63.75" customHeight="1" x14ac:dyDescent="0.2">
      <c r="A52" s="4233"/>
      <c r="B52" s="4227"/>
      <c r="C52" s="4340"/>
      <c r="D52" s="4341"/>
      <c r="E52" s="3044"/>
      <c r="F52" s="3045"/>
      <c r="G52" s="4330">
        <v>190</v>
      </c>
      <c r="H52" s="4313" t="s">
        <v>1529</v>
      </c>
      <c r="I52" s="4313" t="s">
        <v>1530</v>
      </c>
      <c r="J52" s="4290">
        <v>1</v>
      </c>
      <c r="K52" s="4294">
        <v>0.6</v>
      </c>
      <c r="L52" s="2459" t="s">
        <v>1540</v>
      </c>
      <c r="M52" s="1655">
        <v>115</v>
      </c>
      <c r="N52" s="2386" t="s">
        <v>1541</v>
      </c>
      <c r="O52" s="2107">
        <v>100</v>
      </c>
      <c r="P52" s="2292">
        <v>22000000</v>
      </c>
      <c r="Q52" s="4331" t="s">
        <v>1463</v>
      </c>
      <c r="R52" s="3054" t="s">
        <v>1533</v>
      </c>
      <c r="S52" s="2383" t="s">
        <v>1471</v>
      </c>
      <c r="T52" s="1644">
        <v>22000000</v>
      </c>
      <c r="U52" s="2455">
        <v>22000000</v>
      </c>
      <c r="V52" s="2455">
        <v>22000000</v>
      </c>
      <c r="W52" s="2383">
        <v>20</v>
      </c>
      <c r="X52" s="2105" t="s">
        <v>130</v>
      </c>
      <c r="Y52" s="1668">
        <v>137</v>
      </c>
      <c r="Z52" s="1669">
        <v>137</v>
      </c>
      <c r="AA52" s="1668">
        <v>1365</v>
      </c>
      <c r="AB52" s="1669">
        <v>1365</v>
      </c>
      <c r="AC52" s="1668">
        <v>2122</v>
      </c>
      <c r="AD52" s="1669">
        <v>2122</v>
      </c>
      <c r="AE52" s="1668">
        <v>5382</v>
      </c>
      <c r="AF52" s="1669">
        <v>5382</v>
      </c>
      <c r="AG52" s="1668">
        <v>7891</v>
      </c>
      <c r="AH52" s="1669">
        <v>7891</v>
      </c>
      <c r="AI52" s="1670"/>
      <c r="AJ52" s="1671"/>
      <c r="AK52" s="1670"/>
      <c r="AL52" s="1671"/>
      <c r="AM52" s="1670"/>
      <c r="AN52" s="1671"/>
      <c r="AO52" s="1670"/>
      <c r="AP52" s="2927"/>
      <c r="AQ52" s="4299"/>
      <c r="AR52" s="2927"/>
      <c r="AS52" s="4299"/>
      <c r="AT52" s="2927"/>
      <c r="AU52" s="4299"/>
      <c r="AV52" s="2927"/>
      <c r="AW52" s="2383">
        <v>3</v>
      </c>
      <c r="AX52" s="1672">
        <v>22000000</v>
      </c>
      <c r="AY52" s="1672">
        <v>22000000</v>
      </c>
      <c r="AZ52" s="2272">
        <f>+AY52/AX52</f>
        <v>1</v>
      </c>
      <c r="BA52" s="2383">
        <v>20</v>
      </c>
      <c r="BB52" s="2105" t="s">
        <v>1542</v>
      </c>
      <c r="BC52" s="2464">
        <v>42411</v>
      </c>
      <c r="BD52" s="2465">
        <v>42411</v>
      </c>
      <c r="BE52" s="2464">
        <v>42574</v>
      </c>
      <c r="BF52" s="2465">
        <v>42574</v>
      </c>
      <c r="BG52" s="2107" t="s">
        <v>1450</v>
      </c>
    </row>
    <row r="53" spans="1:59" s="3" customFormat="1" ht="71.25" customHeight="1" x14ac:dyDescent="0.2">
      <c r="A53" s="4233"/>
      <c r="B53" s="4227"/>
      <c r="C53" s="4342"/>
      <c r="D53" s="4343"/>
      <c r="E53" s="3046"/>
      <c r="F53" s="3047"/>
      <c r="G53" s="4330"/>
      <c r="H53" s="4313"/>
      <c r="I53" s="4313"/>
      <c r="J53" s="4291"/>
      <c r="K53" s="4295"/>
      <c r="L53" s="2459" t="s">
        <v>1543</v>
      </c>
      <c r="M53" s="1655">
        <v>116</v>
      </c>
      <c r="N53" s="2386" t="s">
        <v>1544</v>
      </c>
      <c r="O53" s="2107">
        <v>100</v>
      </c>
      <c r="P53" s="2292">
        <v>7600000</v>
      </c>
      <c r="Q53" s="4323"/>
      <c r="R53" s="3055"/>
      <c r="S53" s="2383" t="s">
        <v>1471</v>
      </c>
      <c r="T53" s="1644">
        <v>7600000</v>
      </c>
      <c r="U53" s="2455">
        <v>7600000</v>
      </c>
      <c r="V53" s="2455">
        <v>7600000</v>
      </c>
      <c r="W53" s="2383">
        <v>20</v>
      </c>
      <c r="X53" s="2105" t="s">
        <v>130</v>
      </c>
      <c r="Y53" s="1668">
        <v>137</v>
      </c>
      <c r="Z53" s="1669">
        <v>137</v>
      </c>
      <c r="AA53" s="1668">
        <v>1365</v>
      </c>
      <c r="AB53" s="1669">
        <v>1365</v>
      </c>
      <c r="AC53" s="1668">
        <v>2122</v>
      </c>
      <c r="AD53" s="1669">
        <v>2122</v>
      </c>
      <c r="AE53" s="1668">
        <v>5382</v>
      </c>
      <c r="AF53" s="1669">
        <v>5382</v>
      </c>
      <c r="AG53" s="1668">
        <v>7891</v>
      </c>
      <c r="AH53" s="1673">
        <v>7891</v>
      </c>
      <c r="AI53" s="1674"/>
      <c r="AJ53" s="1641"/>
      <c r="AK53" s="1674"/>
      <c r="AL53" s="1641"/>
      <c r="AM53" s="1674"/>
      <c r="AN53" s="1641"/>
      <c r="AO53" s="1674"/>
      <c r="AP53" s="2928"/>
      <c r="AQ53" s="4300"/>
      <c r="AR53" s="2928"/>
      <c r="AS53" s="4300"/>
      <c r="AT53" s="2928"/>
      <c r="AU53" s="4300"/>
      <c r="AV53" s="2928"/>
      <c r="AW53" s="2463">
        <v>1</v>
      </c>
      <c r="AX53" s="2469">
        <v>7600000</v>
      </c>
      <c r="AY53" s="2469">
        <v>7600000</v>
      </c>
      <c r="AZ53" s="2241">
        <f>+AY53/AX53</f>
        <v>1</v>
      </c>
      <c r="BA53" s="2463">
        <v>20</v>
      </c>
      <c r="BB53" s="2105" t="s">
        <v>1542</v>
      </c>
      <c r="BC53" s="2473">
        <v>42447</v>
      </c>
      <c r="BD53" s="2161">
        <v>42447</v>
      </c>
      <c r="BE53" s="2473">
        <v>42566</v>
      </c>
      <c r="BF53" s="2161">
        <v>42566</v>
      </c>
      <c r="BG53" s="2107" t="s">
        <v>1450</v>
      </c>
    </row>
    <row r="54" spans="1:59" s="491" customFormat="1" ht="15" x14ac:dyDescent="0.25">
      <c r="A54" s="4233"/>
      <c r="B54" s="4227"/>
      <c r="C54" s="1675">
        <v>18</v>
      </c>
      <c r="D54" s="546" t="s">
        <v>1545</v>
      </c>
      <c r="E54" s="547"/>
      <c r="F54" s="547"/>
      <c r="G54" s="547"/>
      <c r="H54" s="547"/>
      <c r="I54" s="547"/>
      <c r="J54" s="547"/>
      <c r="K54" s="548"/>
      <c r="L54" s="547"/>
      <c r="M54" s="547"/>
      <c r="N54" s="547"/>
      <c r="O54" s="547"/>
      <c r="P54" s="547"/>
      <c r="Q54" s="547"/>
      <c r="R54" s="547"/>
      <c r="S54" s="547"/>
      <c r="T54" s="547"/>
      <c r="U54" s="1782"/>
      <c r="V54" s="1783"/>
      <c r="W54" s="547"/>
      <c r="X54" s="547"/>
      <c r="Y54" s="547"/>
      <c r="Z54" s="548"/>
      <c r="AA54" s="547"/>
      <c r="AB54" s="548"/>
      <c r="AC54" s="547"/>
      <c r="AD54" s="548"/>
      <c r="AE54" s="547"/>
      <c r="AF54" s="548"/>
      <c r="AG54" s="547"/>
      <c r="AH54" s="548"/>
      <c r="AI54" s="547"/>
      <c r="AJ54" s="548"/>
      <c r="AK54" s="547"/>
      <c r="AL54" s="548"/>
      <c r="AM54" s="547"/>
      <c r="AN54" s="548"/>
      <c r="AO54" s="547"/>
      <c r="AP54" s="548"/>
      <c r="AQ54" s="547"/>
      <c r="AR54" s="548"/>
      <c r="AS54" s="547"/>
      <c r="AT54" s="548"/>
      <c r="AU54" s="547"/>
      <c r="AV54" s="548"/>
      <c r="AW54" s="547"/>
      <c r="AX54" s="547"/>
      <c r="AY54" s="547"/>
      <c r="AZ54" s="547"/>
      <c r="BA54" s="547"/>
      <c r="BB54" s="547"/>
      <c r="BC54" s="547"/>
      <c r="BD54" s="548"/>
      <c r="BE54" s="547"/>
      <c r="BF54" s="548"/>
      <c r="BG54" s="1636"/>
    </row>
    <row r="55" spans="1:59" s="3" customFormat="1" ht="15" x14ac:dyDescent="0.2">
      <c r="A55" s="4233"/>
      <c r="B55" s="4227"/>
      <c r="C55" s="3044"/>
      <c r="D55" s="3045"/>
      <c r="E55" s="580">
        <v>62</v>
      </c>
      <c r="F55" s="1981" t="s">
        <v>1546</v>
      </c>
      <c r="G55" s="1981"/>
      <c r="H55" s="1981"/>
      <c r="I55" s="1981"/>
      <c r="J55" s="1981"/>
      <c r="K55" s="1982"/>
      <c r="L55" s="1377"/>
      <c r="M55" s="1377"/>
      <c r="N55" s="1377"/>
      <c r="O55" s="1377"/>
      <c r="P55" s="1377"/>
      <c r="Q55" s="1377"/>
      <c r="R55" s="1377"/>
      <c r="S55" s="1377"/>
      <c r="T55" s="1377"/>
      <c r="U55" s="1983"/>
      <c r="V55" s="1984"/>
      <c r="W55" s="1377"/>
      <c r="X55" s="1377"/>
      <c r="Y55" s="1377"/>
      <c r="Z55" s="411"/>
      <c r="AA55" s="1377"/>
      <c r="AB55" s="411"/>
      <c r="AC55" s="1377"/>
      <c r="AD55" s="411"/>
      <c r="AE55" s="1377"/>
      <c r="AF55" s="411"/>
      <c r="AG55" s="1377"/>
      <c r="AH55" s="411"/>
      <c r="AI55" s="1377"/>
      <c r="AJ55" s="411"/>
      <c r="AK55" s="1377"/>
      <c r="AL55" s="411"/>
      <c r="AM55" s="1377"/>
      <c r="AN55" s="411"/>
      <c r="AO55" s="1377"/>
      <c r="AP55" s="411"/>
      <c r="AQ55" s="1377"/>
      <c r="AR55" s="411"/>
      <c r="AS55" s="1377"/>
      <c r="AT55" s="411"/>
      <c r="AU55" s="1377"/>
      <c r="AV55" s="411"/>
      <c r="AW55" s="1377"/>
      <c r="AX55" s="1377"/>
      <c r="AY55" s="1377"/>
      <c r="AZ55" s="1377"/>
      <c r="BA55" s="1377"/>
      <c r="BB55" s="1377"/>
      <c r="BC55" s="1377"/>
      <c r="BD55" s="411"/>
      <c r="BE55" s="1377"/>
      <c r="BF55" s="411"/>
      <c r="BG55" s="1985"/>
    </row>
    <row r="56" spans="1:59" s="3" customFormat="1" ht="69.75" customHeight="1" x14ac:dyDescent="0.2">
      <c r="A56" s="4233"/>
      <c r="B56" s="4227"/>
      <c r="C56" s="3044"/>
      <c r="D56" s="3045"/>
      <c r="E56" s="3042"/>
      <c r="F56" s="3043"/>
      <c r="G56" s="4332">
        <v>191</v>
      </c>
      <c r="H56" s="4313" t="s">
        <v>1547</v>
      </c>
      <c r="I56" s="3980" t="s">
        <v>1548</v>
      </c>
      <c r="J56" s="2915">
        <v>1</v>
      </c>
      <c r="K56" s="4361">
        <v>0.6</v>
      </c>
      <c r="L56" s="4256" t="s">
        <v>1549</v>
      </c>
      <c r="M56" s="4259">
        <v>117</v>
      </c>
      <c r="N56" s="4269" t="s">
        <v>1550</v>
      </c>
      <c r="O56" s="4285">
        <v>100</v>
      </c>
      <c r="P56" s="4271">
        <v>85000000</v>
      </c>
      <c r="Q56" s="4268" t="s">
        <v>1551</v>
      </c>
      <c r="R56" s="3055" t="s">
        <v>1552</v>
      </c>
      <c r="S56" s="4355" t="s">
        <v>1553</v>
      </c>
      <c r="T56" s="4357">
        <v>75000000</v>
      </c>
      <c r="U56" s="4359">
        <v>75000000</v>
      </c>
      <c r="V56" s="4359">
        <v>51000000</v>
      </c>
      <c r="W56" s="4273">
        <v>20</v>
      </c>
      <c r="X56" s="4273" t="s">
        <v>130</v>
      </c>
      <c r="Y56" s="3931"/>
      <c r="Z56" s="2927"/>
      <c r="AA56" s="3931"/>
      <c r="AB56" s="2927"/>
      <c r="AC56" s="3931"/>
      <c r="AD56" s="2927"/>
      <c r="AE56" s="4363">
        <v>755</v>
      </c>
      <c r="AF56" s="4364">
        <v>0</v>
      </c>
      <c r="AG56" s="4363">
        <v>1500</v>
      </c>
      <c r="AH56" s="4364">
        <v>0</v>
      </c>
      <c r="AI56" s="4363">
        <v>95</v>
      </c>
      <c r="AJ56" s="4364">
        <v>0</v>
      </c>
      <c r="AK56" s="3916">
        <v>20</v>
      </c>
      <c r="AL56" s="2835">
        <v>0</v>
      </c>
      <c r="AM56" s="3916">
        <v>10</v>
      </c>
      <c r="AN56" s="2835">
        <v>0</v>
      </c>
      <c r="AO56" s="3931"/>
      <c r="AP56" s="2927"/>
      <c r="AQ56" s="3931"/>
      <c r="AR56" s="2927"/>
      <c r="AS56" s="3931"/>
      <c r="AT56" s="2927"/>
      <c r="AU56" s="3931"/>
      <c r="AV56" s="2927"/>
      <c r="AW56" s="3915">
        <v>2</v>
      </c>
      <c r="AX56" s="4306">
        <v>75000000</v>
      </c>
      <c r="AY56" s="4282">
        <f>V56</f>
        <v>51000000</v>
      </c>
      <c r="AZ56" s="3278">
        <f>AY56/AX56</f>
        <v>0.68</v>
      </c>
      <c r="BA56" s="3915">
        <v>20</v>
      </c>
      <c r="BB56" s="2707" t="s">
        <v>1496</v>
      </c>
      <c r="BC56" s="4278" t="s">
        <v>1554</v>
      </c>
      <c r="BD56" s="4278" t="s">
        <v>1555</v>
      </c>
      <c r="BE56" s="4278">
        <v>42735</v>
      </c>
      <c r="BF56" s="4278">
        <v>42735</v>
      </c>
      <c r="BG56" s="4281" t="s">
        <v>1450</v>
      </c>
    </row>
    <row r="57" spans="1:59" s="3" customFormat="1" ht="53.25" customHeight="1" x14ac:dyDescent="0.2">
      <c r="A57" s="4233"/>
      <c r="B57" s="4227"/>
      <c r="C57" s="3044"/>
      <c r="D57" s="3045"/>
      <c r="E57" s="3044"/>
      <c r="F57" s="3045"/>
      <c r="G57" s="4332"/>
      <c r="H57" s="4313"/>
      <c r="I57" s="3980"/>
      <c r="J57" s="2915"/>
      <c r="K57" s="4362"/>
      <c r="L57" s="4256"/>
      <c r="M57" s="4259"/>
      <c r="N57" s="4313"/>
      <c r="O57" s="3989"/>
      <c r="P57" s="4272"/>
      <c r="Q57" s="4268"/>
      <c r="R57" s="3055"/>
      <c r="S57" s="4356"/>
      <c r="T57" s="4358"/>
      <c r="U57" s="4360"/>
      <c r="V57" s="4360"/>
      <c r="W57" s="4274"/>
      <c r="X57" s="4274"/>
      <c r="Y57" s="3931"/>
      <c r="Z57" s="3917"/>
      <c r="AA57" s="3931"/>
      <c r="AB57" s="3917"/>
      <c r="AC57" s="3931"/>
      <c r="AD57" s="3917"/>
      <c r="AE57" s="4363"/>
      <c r="AF57" s="4365"/>
      <c r="AG57" s="4363"/>
      <c r="AH57" s="4365"/>
      <c r="AI57" s="4363"/>
      <c r="AJ57" s="4365"/>
      <c r="AK57" s="3916"/>
      <c r="AL57" s="2836"/>
      <c r="AM57" s="3916"/>
      <c r="AN57" s="2836"/>
      <c r="AO57" s="3931"/>
      <c r="AP57" s="3917"/>
      <c r="AQ57" s="3931"/>
      <c r="AR57" s="3917"/>
      <c r="AS57" s="3931"/>
      <c r="AT57" s="3917"/>
      <c r="AU57" s="3931"/>
      <c r="AV57" s="3917"/>
      <c r="AW57" s="3916"/>
      <c r="AX57" s="4320"/>
      <c r="AY57" s="4283"/>
      <c r="AZ57" s="3279"/>
      <c r="BA57" s="3916"/>
      <c r="BB57" s="2708"/>
      <c r="BC57" s="3989"/>
      <c r="BD57" s="3989"/>
      <c r="BE57" s="3989"/>
      <c r="BF57" s="3989"/>
      <c r="BG57" s="4304"/>
    </row>
    <row r="58" spans="1:59" s="3" customFormat="1" ht="90" customHeight="1" x14ac:dyDescent="0.2">
      <c r="A58" s="4233"/>
      <c r="B58" s="4227"/>
      <c r="C58" s="3044"/>
      <c r="D58" s="3045"/>
      <c r="E58" s="3044"/>
      <c r="F58" s="3045"/>
      <c r="G58" s="4332"/>
      <c r="H58" s="4313"/>
      <c r="I58" s="3980"/>
      <c r="J58" s="2915"/>
      <c r="K58" s="4362"/>
      <c r="L58" s="4256"/>
      <c r="M58" s="4259"/>
      <c r="N58" s="4313"/>
      <c r="O58" s="3989"/>
      <c r="P58" s="4272"/>
      <c r="Q58" s="4268"/>
      <c r="R58" s="3055"/>
      <c r="S58" s="1784" t="s">
        <v>1556</v>
      </c>
      <c r="T58" s="2481">
        <v>10000000</v>
      </c>
      <c r="U58" s="1785">
        <v>0</v>
      </c>
      <c r="V58" s="1785">
        <v>0</v>
      </c>
      <c r="W58" s="4274"/>
      <c r="X58" s="4274"/>
      <c r="Y58" s="3931"/>
      <c r="Z58" s="3917"/>
      <c r="AA58" s="3931"/>
      <c r="AB58" s="3917"/>
      <c r="AC58" s="3931"/>
      <c r="AD58" s="3917"/>
      <c r="AE58" s="4363"/>
      <c r="AF58" s="4365"/>
      <c r="AG58" s="4363"/>
      <c r="AH58" s="4365"/>
      <c r="AI58" s="4363"/>
      <c r="AJ58" s="4365"/>
      <c r="AK58" s="3916"/>
      <c r="AL58" s="2836"/>
      <c r="AM58" s="3916"/>
      <c r="AN58" s="2836"/>
      <c r="AO58" s="3931"/>
      <c r="AP58" s="3917"/>
      <c r="AQ58" s="3931"/>
      <c r="AR58" s="3917"/>
      <c r="AS58" s="3931"/>
      <c r="AT58" s="3917"/>
      <c r="AU58" s="3931"/>
      <c r="AV58" s="3917"/>
      <c r="AW58" s="3916"/>
      <c r="AX58" s="4320"/>
      <c r="AY58" s="4283"/>
      <c r="AZ58" s="3279"/>
      <c r="BA58" s="3916"/>
      <c r="BB58" s="2708"/>
      <c r="BC58" s="3989"/>
      <c r="BD58" s="3989"/>
      <c r="BE58" s="3989"/>
      <c r="BF58" s="3989"/>
      <c r="BG58" s="4304"/>
    </row>
    <row r="59" spans="1:59" s="3" customFormat="1" ht="85.5" x14ac:dyDescent="0.2">
      <c r="A59" s="4233"/>
      <c r="B59" s="4227"/>
      <c r="C59" s="3044"/>
      <c r="D59" s="3045"/>
      <c r="E59" s="3044"/>
      <c r="F59" s="3045"/>
      <c r="G59" s="4332">
        <v>192</v>
      </c>
      <c r="H59" s="4314" t="s">
        <v>1557</v>
      </c>
      <c r="I59" s="4314" t="s">
        <v>1558</v>
      </c>
      <c r="J59" s="4366">
        <v>1</v>
      </c>
      <c r="K59" s="4367">
        <v>0.4</v>
      </c>
      <c r="L59" s="4312" t="s">
        <v>1559</v>
      </c>
      <c r="M59" s="4258">
        <v>118</v>
      </c>
      <c r="N59" s="4314" t="s">
        <v>1560</v>
      </c>
      <c r="O59" s="3989">
        <v>100</v>
      </c>
      <c r="P59" s="4272">
        <v>51200000</v>
      </c>
      <c r="Q59" s="4313" t="s">
        <v>1551</v>
      </c>
      <c r="R59" s="3054" t="s">
        <v>1561</v>
      </c>
      <c r="S59" s="2386" t="s">
        <v>1562</v>
      </c>
      <c r="T59" s="1640">
        <v>42000000</v>
      </c>
      <c r="U59" s="1639">
        <v>21956666</v>
      </c>
      <c r="V59" s="1639">
        <v>21956666</v>
      </c>
      <c r="W59" s="4273">
        <v>20</v>
      </c>
      <c r="X59" s="4273" t="s">
        <v>130</v>
      </c>
      <c r="Y59" s="4299"/>
      <c r="Z59" s="2927"/>
      <c r="AA59" s="4299"/>
      <c r="AB59" s="2927"/>
      <c r="AC59" s="4299"/>
      <c r="AD59" s="2927"/>
      <c r="AE59" s="4299"/>
      <c r="AF59" s="2927"/>
      <c r="AG59" s="4299"/>
      <c r="AH59" s="2927"/>
      <c r="AI59" s="4299"/>
      <c r="AJ59" s="2927"/>
      <c r="AK59" s="4299"/>
      <c r="AL59" s="2927"/>
      <c r="AM59" s="4299"/>
      <c r="AN59" s="2927"/>
      <c r="AO59" s="4299"/>
      <c r="AP59" s="2927"/>
      <c r="AQ59" s="4299"/>
      <c r="AR59" s="2927"/>
      <c r="AS59" s="4299"/>
      <c r="AT59" s="2927"/>
      <c r="AU59" s="4299"/>
      <c r="AV59" s="2927"/>
      <c r="AW59" s="3915">
        <v>4</v>
      </c>
      <c r="AX59" s="4306">
        <f>+U59+U60</f>
        <v>21956666</v>
      </c>
      <c r="AY59" s="4306">
        <f>+V59+V60</f>
        <v>21956666</v>
      </c>
      <c r="AZ59" s="4308">
        <f>+AY59/AX59</f>
        <v>1</v>
      </c>
      <c r="BA59" s="3915">
        <v>20</v>
      </c>
      <c r="BB59" s="2707" t="s">
        <v>1563</v>
      </c>
      <c r="BC59" s="4301">
        <v>42614</v>
      </c>
      <c r="BD59" s="4302">
        <v>42614</v>
      </c>
      <c r="BE59" s="4301">
        <v>42721</v>
      </c>
      <c r="BF59" s="4302">
        <v>42721</v>
      </c>
      <c r="BG59" s="4304" t="s">
        <v>1450</v>
      </c>
    </row>
    <row r="60" spans="1:59" s="3" customFormat="1" ht="69" customHeight="1" x14ac:dyDescent="0.2">
      <c r="A60" s="4233"/>
      <c r="B60" s="4227"/>
      <c r="C60" s="3044"/>
      <c r="D60" s="3045"/>
      <c r="E60" s="3044"/>
      <c r="F60" s="3045"/>
      <c r="G60" s="4332"/>
      <c r="H60" s="4269"/>
      <c r="I60" s="4269"/>
      <c r="J60" s="4366"/>
      <c r="K60" s="4368"/>
      <c r="L60" s="4257"/>
      <c r="M60" s="4260"/>
      <c r="N60" s="4269"/>
      <c r="O60" s="3989"/>
      <c r="P60" s="4272"/>
      <c r="Q60" s="4313"/>
      <c r="R60" s="3056"/>
      <c r="S60" s="2386" t="s">
        <v>1564</v>
      </c>
      <c r="T60" s="1640">
        <v>9200000</v>
      </c>
      <c r="U60" s="1786">
        <v>0</v>
      </c>
      <c r="V60" s="1786">
        <v>0</v>
      </c>
      <c r="W60" s="4275"/>
      <c r="X60" s="4275"/>
      <c r="Y60" s="4300"/>
      <c r="Z60" s="2928"/>
      <c r="AA60" s="4300"/>
      <c r="AB60" s="2928"/>
      <c r="AC60" s="4300"/>
      <c r="AD60" s="2928"/>
      <c r="AE60" s="4300"/>
      <c r="AF60" s="2928"/>
      <c r="AG60" s="4300"/>
      <c r="AH60" s="2928"/>
      <c r="AI60" s="4300"/>
      <c r="AJ60" s="2928"/>
      <c r="AK60" s="4300"/>
      <c r="AL60" s="2928"/>
      <c r="AM60" s="4300"/>
      <c r="AN60" s="2928"/>
      <c r="AO60" s="4300"/>
      <c r="AP60" s="2928"/>
      <c r="AQ60" s="4300"/>
      <c r="AR60" s="2928"/>
      <c r="AS60" s="4300"/>
      <c r="AT60" s="2928"/>
      <c r="AU60" s="4300"/>
      <c r="AV60" s="2928"/>
      <c r="AW60" s="4285"/>
      <c r="AX60" s="4307"/>
      <c r="AY60" s="4307"/>
      <c r="AZ60" s="4309"/>
      <c r="BA60" s="4285"/>
      <c r="BB60" s="2709"/>
      <c r="BC60" s="3989"/>
      <c r="BD60" s="4319"/>
      <c r="BE60" s="3989"/>
      <c r="BF60" s="4319"/>
      <c r="BG60" s="4304"/>
    </row>
    <row r="61" spans="1:59" s="3" customFormat="1" ht="94.5" customHeight="1" x14ac:dyDescent="0.2">
      <c r="A61" s="4233"/>
      <c r="B61" s="4227"/>
      <c r="C61" s="3044"/>
      <c r="D61" s="3045"/>
      <c r="E61" s="3044"/>
      <c r="F61" s="3045"/>
      <c r="G61" s="4332">
        <v>192</v>
      </c>
      <c r="H61" s="4314" t="s">
        <v>1557</v>
      </c>
      <c r="I61" s="4314" t="s">
        <v>1558</v>
      </c>
      <c r="J61" s="4290">
        <v>1</v>
      </c>
      <c r="K61" s="4294">
        <v>0.4</v>
      </c>
      <c r="L61" s="2115" t="s">
        <v>1565</v>
      </c>
      <c r="M61" s="1676">
        <v>119</v>
      </c>
      <c r="N61" s="2386" t="s">
        <v>1566</v>
      </c>
      <c r="O61" s="2107">
        <v>100</v>
      </c>
      <c r="P61" s="2292">
        <v>5000000</v>
      </c>
      <c r="Q61" s="4314" t="s">
        <v>1551</v>
      </c>
      <c r="R61" s="3980" t="s">
        <v>1561</v>
      </c>
      <c r="S61" s="2383" t="s">
        <v>1471</v>
      </c>
      <c r="T61" s="1644">
        <v>5000000</v>
      </c>
      <c r="U61" s="2455">
        <v>5000000</v>
      </c>
      <c r="V61" s="2455">
        <v>5000000</v>
      </c>
      <c r="W61" s="2383">
        <v>20</v>
      </c>
      <c r="X61" s="2107" t="s">
        <v>130</v>
      </c>
      <c r="Y61" s="2467"/>
      <c r="Z61" s="2165"/>
      <c r="AA61" s="2467"/>
      <c r="AB61" s="2165"/>
      <c r="AC61" s="2467"/>
      <c r="AD61" s="2165"/>
      <c r="AE61" s="2467"/>
      <c r="AF61" s="2165"/>
      <c r="AG61" s="2467"/>
      <c r="AH61" s="2165"/>
      <c r="AI61" s="2479"/>
      <c r="AJ61" s="2490"/>
      <c r="AK61" s="2479"/>
      <c r="AL61" s="2490"/>
      <c r="AM61" s="2479"/>
      <c r="AN61" s="2490"/>
      <c r="AO61" s="2479"/>
      <c r="AP61" s="2490"/>
      <c r="AQ61" s="2479"/>
      <c r="AR61" s="2490"/>
      <c r="AS61" s="2479"/>
      <c r="AT61" s="2490"/>
      <c r="AU61" s="2479"/>
      <c r="AV61" s="2490"/>
      <c r="AW61" s="2383">
        <v>1</v>
      </c>
      <c r="AX61" s="1672">
        <v>5000000</v>
      </c>
      <c r="AY61" s="1672">
        <v>5000000</v>
      </c>
      <c r="AZ61" s="2272">
        <f>+AY61/AX61</f>
        <v>1</v>
      </c>
      <c r="BA61" s="2383">
        <v>20</v>
      </c>
      <c r="BB61" s="1637" t="s">
        <v>1563</v>
      </c>
      <c r="BC61" s="2464">
        <v>42502</v>
      </c>
      <c r="BD61" s="2465">
        <v>42502</v>
      </c>
      <c r="BE61" s="2464">
        <v>42561</v>
      </c>
      <c r="BF61" s="2465">
        <v>42561</v>
      </c>
      <c r="BG61" s="2107" t="s">
        <v>1450</v>
      </c>
    </row>
    <row r="62" spans="1:59" s="3" customFormat="1" ht="110.25" customHeight="1" x14ac:dyDescent="0.2">
      <c r="A62" s="4233"/>
      <c r="B62" s="4227"/>
      <c r="C62" s="3044"/>
      <c r="D62" s="3045"/>
      <c r="E62" s="3044"/>
      <c r="F62" s="3045"/>
      <c r="G62" s="4333"/>
      <c r="H62" s="4268"/>
      <c r="I62" s="4268"/>
      <c r="J62" s="4369"/>
      <c r="K62" s="4339"/>
      <c r="L62" s="2119" t="s">
        <v>1567</v>
      </c>
      <c r="M62" s="1677">
        <v>120</v>
      </c>
      <c r="N62" s="1678" t="s">
        <v>1568</v>
      </c>
      <c r="O62" s="2105">
        <v>100</v>
      </c>
      <c r="P62" s="2488">
        <v>3800000</v>
      </c>
      <c r="Q62" s="4268"/>
      <c r="R62" s="3054"/>
      <c r="S62" s="2395" t="s">
        <v>1471</v>
      </c>
      <c r="T62" s="2458">
        <v>3800000</v>
      </c>
      <c r="U62" s="2172">
        <v>3800000</v>
      </c>
      <c r="V62" s="2172">
        <v>3800000</v>
      </c>
      <c r="W62" s="2395">
        <v>20</v>
      </c>
      <c r="X62" s="2105" t="s">
        <v>130</v>
      </c>
      <c r="Y62" s="2411"/>
      <c r="Z62" s="2407"/>
      <c r="AA62" s="2411"/>
      <c r="AB62" s="2407"/>
      <c r="AC62" s="2411"/>
      <c r="AD62" s="2407"/>
      <c r="AE62" s="2411"/>
      <c r="AF62" s="2407"/>
      <c r="AG62" s="2411"/>
      <c r="AH62" s="2407"/>
      <c r="AI62" s="2411"/>
      <c r="AJ62" s="2407"/>
      <c r="AK62" s="2411"/>
      <c r="AL62" s="2407"/>
      <c r="AM62" s="2411"/>
      <c r="AN62" s="2407"/>
      <c r="AO62" s="2411"/>
      <c r="AP62" s="2407"/>
      <c r="AQ62" s="2411"/>
      <c r="AR62" s="2407"/>
      <c r="AS62" s="2411"/>
      <c r="AT62" s="2407"/>
      <c r="AU62" s="2411"/>
      <c r="AV62" s="2407"/>
      <c r="AW62" s="2393">
        <v>1</v>
      </c>
      <c r="AX62" s="2468">
        <v>3800000</v>
      </c>
      <c r="AY62" s="2468">
        <v>3800000</v>
      </c>
      <c r="AZ62" s="2239">
        <f>+AY62/AX62</f>
        <v>1</v>
      </c>
      <c r="BA62" s="2393">
        <v>20</v>
      </c>
      <c r="BB62" s="1637" t="s">
        <v>1563</v>
      </c>
      <c r="BC62" s="2472">
        <v>42495</v>
      </c>
      <c r="BD62" s="2160">
        <v>42495</v>
      </c>
      <c r="BE62" s="2472">
        <v>42554</v>
      </c>
      <c r="BF62" s="2160">
        <v>42554</v>
      </c>
      <c r="BG62" s="2105" t="s">
        <v>1450</v>
      </c>
    </row>
    <row r="63" spans="1:59" s="3" customFormat="1" ht="15" x14ac:dyDescent="0.2">
      <c r="A63" s="4233"/>
      <c r="B63" s="4227"/>
      <c r="C63" s="3044"/>
      <c r="D63" s="3045"/>
      <c r="E63" s="580">
        <v>63</v>
      </c>
      <c r="F63" s="1960" t="s">
        <v>1569</v>
      </c>
      <c r="G63" s="1961"/>
      <c r="H63" s="1961"/>
      <c r="I63" s="1961"/>
      <c r="J63" s="1961"/>
      <c r="K63" s="538"/>
      <c r="L63" s="1961"/>
      <c r="M63" s="1961"/>
      <c r="N63" s="1961"/>
      <c r="O63" s="1961"/>
      <c r="P63" s="1961"/>
      <c r="Q63" s="1961"/>
      <c r="R63" s="1961"/>
      <c r="S63" s="1961"/>
      <c r="T63" s="1961"/>
      <c r="U63" s="1962"/>
      <c r="V63" s="1962"/>
      <c r="W63" s="1961"/>
      <c r="X63" s="1961"/>
      <c r="Y63" s="1961"/>
      <c r="Z63" s="538"/>
      <c r="AA63" s="1961"/>
      <c r="AB63" s="538"/>
      <c r="AC63" s="1961"/>
      <c r="AD63" s="538"/>
      <c r="AE63" s="1961"/>
      <c r="AF63" s="538"/>
      <c r="AG63" s="1961"/>
      <c r="AH63" s="538"/>
      <c r="AI63" s="1961"/>
      <c r="AJ63" s="538"/>
      <c r="AK63" s="1961"/>
      <c r="AL63" s="538"/>
      <c r="AM63" s="1961"/>
      <c r="AN63" s="538"/>
      <c r="AO63" s="1961"/>
      <c r="AP63" s="538"/>
      <c r="AQ63" s="1961"/>
      <c r="AR63" s="538"/>
      <c r="AS63" s="1961"/>
      <c r="AT63" s="538"/>
      <c r="AU63" s="1961"/>
      <c r="AV63" s="538"/>
      <c r="AW63" s="1961"/>
      <c r="AX63" s="1961"/>
      <c r="AY63" s="1961"/>
      <c r="AZ63" s="1961"/>
      <c r="BA63" s="1961"/>
      <c r="BB63" s="1961"/>
      <c r="BC63" s="1961"/>
      <c r="BD63" s="538"/>
      <c r="BE63" s="1961"/>
      <c r="BF63" s="538"/>
      <c r="BG63" s="1986"/>
    </row>
    <row r="64" spans="1:59" s="3" customFormat="1" ht="114.75" customHeight="1" x14ac:dyDescent="0.2">
      <c r="A64" s="4233"/>
      <c r="B64" s="4227"/>
      <c r="C64" s="3044"/>
      <c r="D64" s="3045"/>
      <c r="E64" s="3042"/>
      <c r="F64" s="3045"/>
      <c r="G64" s="4334">
        <v>193</v>
      </c>
      <c r="H64" s="4268" t="s">
        <v>1570</v>
      </c>
      <c r="I64" s="4268" t="s">
        <v>1571</v>
      </c>
      <c r="J64" s="2797">
        <v>1</v>
      </c>
      <c r="K64" s="2826">
        <v>0</v>
      </c>
      <c r="L64" s="4256" t="s">
        <v>1572</v>
      </c>
      <c r="M64" s="4259">
        <v>121</v>
      </c>
      <c r="N64" s="2787" t="s">
        <v>1573</v>
      </c>
      <c r="O64" s="4285">
        <v>100</v>
      </c>
      <c r="P64" s="4271">
        <v>40000000</v>
      </c>
      <c r="Q64" s="4268" t="s">
        <v>1551</v>
      </c>
      <c r="R64" s="3055" t="s">
        <v>1574</v>
      </c>
      <c r="S64" s="2116" t="s">
        <v>1575</v>
      </c>
      <c r="T64" s="1666">
        <v>28000000</v>
      </c>
      <c r="U64" s="1679">
        <v>0</v>
      </c>
      <c r="V64" s="1679">
        <v>0</v>
      </c>
      <c r="W64" s="4225">
        <v>20</v>
      </c>
      <c r="X64" s="4225" t="s">
        <v>130</v>
      </c>
      <c r="Y64" s="4300"/>
      <c r="Z64" s="2927"/>
      <c r="AA64" s="4300"/>
      <c r="AB64" s="2927"/>
      <c r="AC64" s="4300"/>
      <c r="AD64" s="2927"/>
      <c r="AE64" s="4300"/>
      <c r="AF64" s="2927"/>
      <c r="AG64" s="4300"/>
      <c r="AH64" s="2927"/>
      <c r="AI64" s="4300"/>
      <c r="AJ64" s="2927"/>
      <c r="AK64" s="4300"/>
      <c r="AL64" s="2927"/>
      <c r="AM64" s="3916">
        <v>32</v>
      </c>
      <c r="AN64" s="2835">
        <v>0</v>
      </c>
      <c r="AO64" s="4300"/>
      <c r="AP64" s="2927"/>
      <c r="AQ64" s="4300"/>
      <c r="AR64" s="2927"/>
      <c r="AS64" s="4300"/>
      <c r="AT64" s="2927"/>
      <c r="AU64" s="4300"/>
      <c r="AV64" s="2927"/>
      <c r="AW64" s="3915">
        <v>0</v>
      </c>
      <c r="AX64" s="4306">
        <v>0</v>
      </c>
      <c r="AY64" s="4306">
        <v>0</v>
      </c>
      <c r="AZ64" s="3278">
        <v>0</v>
      </c>
      <c r="BA64" s="3915"/>
      <c r="BB64" s="2707" t="s">
        <v>1563</v>
      </c>
      <c r="BC64" s="4276"/>
      <c r="BD64" s="2936"/>
      <c r="BE64" s="4276"/>
      <c r="BF64" s="2936"/>
      <c r="BG64" s="4305" t="s">
        <v>1450</v>
      </c>
    </row>
    <row r="65" spans="1:59" s="3" customFormat="1" ht="90.75" customHeight="1" x14ac:dyDescent="0.2">
      <c r="A65" s="4233"/>
      <c r="B65" s="4227"/>
      <c r="C65" s="3044"/>
      <c r="D65" s="3045"/>
      <c r="E65" s="3044"/>
      <c r="F65" s="3045"/>
      <c r="G65" s="4335"/>
      <c r="H65" s="4269"/>
      <c r="I65" s="4269"/>
      <c r="J65" s="2915"/>
      <c r="K65" s="2862"/>
      <c r="L65" s="4257"/>
      <c r="M65" s="4260"/>
      <c r="N65" s="2788"/>
      <c r="O65" s="3989"/>
      <c r="P65" s="4272"/>
      <c r="Q65" s="4268"/>
      <c r="R65" s="3055"/>
      <c r="S65" s="2107" t="s">
        <v>1576</v>
      </c>
      <c r="T65" s="1667">
        <v>12000000</v>
      </c>
      <c r="U65" s="1680">
        <v>0</v>
      </c>
      <c r="V65" s="1680">
        <v>0</v>
      </c>
      <c r="W65" s="4225"/>
      <c r="X65" s="4225"/>
      <c r="Y65" s="4303"/>
      <c r="Z65" s="2928"/>
      <c r="AA65" s="4303"/>
      <c r="AB65" s="2928"/>
      <c r="AC65" s="4303"/>
      <c r="AD65" s="2928"/>
      <c r="AE65" s="4303"/>
      <c r="AF65" s="2928"/>
      <c r="AG65" s="4303"/>
      <c r="AH65" s="2928"/>
      <c r="AI65" s="4303"/>
      <c r="AJ65" s="2928"/>
      <c r="AK65" s="4303"/>
      <c r="AL65" s="2928"/>
      <c r="AM65" s="4285"/>
      <c r="AN65" s="2837"/>
      <c r="AO65" s="4303"/>
      <c r="AP65" s="2928"/>
      <c r="AQ65" s="4303"/>
      <c r="AR65" s="2928"/>
      <c r="AS65" s="4303"/>
      <c r="AT65" s="2928"/>
      <c r="AU65" s="4303"/>
      <c r="AV65" s="2928"/>
      <c r="AW65" s="4285"/>
      <c r="AX65" s="4307"/>
      <c r="AY65" s="4307"/>
      <c r="AZ65" s="3280"/>
      <c r="BA65" s="4285"/>
      <c r="BB65" s="2709"/>
      <c r="BC65" s="4278"/>
      <c r="BD65" s="2937"/>
      <c r="BE65" s="4278"/>
      <c r="BF65" s="2937"/>
      <c r="BG65" s="4280"/>
    </row>
    <row r="66" spans="1:59" s="3" customFormat="1" ht="96" customHeight="1" x14ac:dyDescent="0.2">
      <c r="A66" s="4233"/>
      <c r="B66" s="4227"/>
      <c r="C66" s="3044"/>
      <c r="D66" s="3045"/>
      <c r="E66" s="3044"/>
      <c r="F66" s="3045"/>
      <c r="G66" s="4333">
        <v>194</v>
      </c>
      <c r="H66" s="4314" t="s">
        <v>1577</v>
      </c>
      <c r="I66" s="4370" t="s">
        <v>1578</v>
      </c>
      <c r="J66" s="2915">
        <v>1</v>
      </c>
      <c r="K66" s="4361">
        <v>0.5</v>
      </c>
      <c r="L66" s="4312" t="s">
        <v>1579</v>
      </c>
      <c r="M66" s="4258">
        <v>122</v>
      </c>
      <c r="N66" s="4314" t="s">
        <v>1580</v>
      </c>
      <c r="O66" s="3989">
        <v>100</v>
      </c>
      <c r="P66" s="4272">
        <v>60000000</v>
      </c>
      <c r="Q66" s="4268"/>
      <c r="R66" s="3055"/>
      <c r="S66" s="2386" t="s">
        <v>1581</v>
      </c>
      <c r="T66" s="1640">
        <v>31000000</v>
      </c>
      <c r="U66" s="1639">
        <v>20500000</v>
      </c>
      <c r="V66" s="1639">
        <v>20500000</v>
      </c>
      <c r="W66" s="4225">
        <v>20</v>
      </c>
      <c r="X66" s="4225" t="s">
        <v>130</v>
      </c>
      <c r="Y66" s="4303"/>
      <c r="Z66" s="2927"/>
      <c r="AA66" s="4303"/>
      <c r="AB66" s="2927"/>
      <c r="AC66" s="4303"/>
      <c r="AD66" s="2927"/>
      <c r="AE66" s="4303"/>
      <c r="AF66" s="2927"/>
      <c r="AG66" s="4303"/>
      <c r="AH66" s="2927"/>
      <c r="AI66" s="4303"/>
      <c r="AJ66" s="2927"/>
      <c r="AK66" s="4303"/>
      <c r="AL66" s="2927"/>
      <c r="AM66" s="3915">
        <v>909</v>
      </c>
      <c r="AN66" s="2835">
        <v>0</v>
      </c>
      <c r="AO66" s="4303"/>
      <c r="AP66" s="2927"/>
      <c r="AQ66" s="4303"/>
      <c r="AR66" s="2927"/>
      <c r="AS66" s="4303"/>
      <c r="AT66" s="2927"/>
      <c r="AU66" s="4303"/>
      <c r="AV66" s="2927"/>
      <c r="AW66" s="3915">
        <v>2</v>
      </c>
      <c r="AX66" s="4306">
        <f>+U66+U67</f>
        <v>40500000</v>
      </c>
      <c r="AY66" s="4306">
        <f>+V66+V67</f>
        <v>40500000</v>
      </c>
      <c r="AZ66" s="3278">
        <f>AY66/AX66</f>
        <v>1</v>
      </c>
      <c r="BA66" s="3915"/>
      <c r="BB66" s="2707" t="s">
        <v>1563</v>
      </c>
      <c r="BC66" s="1787">
        <v>42677</v>
      </c>
      <c r="BD66" s="1788">
        <v>42677</v>
      </c>
      <c r="BE66" s="1787">
        <v>42724</v>
      </c>
      <c r="BF66" s="1788" t="s">
        <v>1582</v>
      </c>
      <c r="BG66" s="4305" t="s">
        <v>1450</v>
      </c>
    </row>
    <row r="67" spans="1:59" s="3" customFormat="1" ht="70.5" customHeight="1" x14ac:dyDescent="0.2">
      <c r="A67" s="4233"/>
      <c r="B67" s="4227"/>
      <c r="C67" s="3044"/>
      <c r="D67" s="3045"/>
      <c r="E67" s="3044"/>
      <c r="F67" s="3045"/>
      <c r="G67" s="4334"/>
      <c r="H67" s="4268"/>
      <c r="I67" s="4370"/>
      <c r="J67" s="2915"/>
      <c r="K67" s="4362"/>
      <c r="L67" s="4256"/>
      <c r="M67" s="4259"/>
      <c r="N67" s="4268"/>
      <c r="O67" s="3989"/>
      <c r="P67" s="4272"/>
      <c r="Q67" s="4268"/>
      <c r="R67" s="3055"/>
      <c r="S67" s="2386" t="s">
        <v>1583</v>
      </c>
      <c r="T67" s="1640">
        <v>20000000</v>
      </c>
      <c r="U67" s="1639">
        <f>+T67</f>
        <v>20000000</v>
      </c>
      <c r="V67" s="1639">
        <v>20000000</v>
      </c>
      <c r="W67" s="4225"/>
      <c r="X67" s="4225"/>
      <c r="Y67" s="4303"/>
      <c r="Z67" s="3917"/>
      <c r="AA67" s="4303"/>
      <c r="AB67" s="3917"/>
      <c r="AC67" s="4303"/>
      <c r="AD67" s="3917"/>
      <c r="AE67" s="4303"/>
      <c r="AF67" s="3917"/>
      <c r="AG67" s="4303"/>
      <c r="AH67" s="3917"/>
      <c r="AI67" s="4303"/>
      <c r="AJ67" s="3917"/>
      <c r="AK67" s="4303"/>
      <c r="AL67" s="3917"/>
      <c r="AM67" s="3916"/>
      <c r="AN67" s="2836"/>
      <c r="AO67" s="4303"/>
      <c r="AP67" s="3917"/>
      <c r="AQ67" s="4303"/>
      <c r="AR67" s="3917"/>
      <c r="AS67" s="4303"/>
      <c r="AT67" s="3917"/>
      <c r="AU67" s="4303"/>
      <c r="AV67" s="3917"/>
      <c r="AW67" s="3916"/>
      <c r="AX67" s="4320"/>
      <c r="AY67" s="4320"/>
      <c r="AZ67" s="3279"/>
      <c r="BA67" s="3916"/>
      <c r="BB67" s="2708"/>
      <c r="BC67" s="4276">
        <v>42650</v>
      </c>
      <c r="BD67" s="4276">
        <v>42650</v>
      </c>
      <c r="BE67" s="4276">
        <v>42724</v>
      </c>
      <c r="BF67" s="4276">
        <v>43089</v>
      </c>
      <c r="BG67" s="4280"/>
    </row>
    <row r="68" spans="1:59" s="3" customFormat="1" ht="49.5" customHeight="1" x14ac:dyDescent="0.2">
      <c r="A68" s="4233"/>
      <c r="B68" s="4227"/>
      <c r="C68" s="3044"/>
      <c r="D68" s="3045"/>
      <c r="E68" s="3046"/>
      <c r="F68" s="3047"/>
      <c r="G68" s="4335"/>
      <c r="H68" s="4269"/>
      <c r="I68" s="4370"/>
      <c r="J68" s="2915"/>
      <c r="K68" s="4371"/>
      <c r="L68" s="4257"/>
      <c r="M68" s="4260"/>
      <c r="N68" s="4269"/>
      <c r="O68" s="3989"/>
      <c r="P68" s="4272"/>
      <c r="Q68" s="4269"/>
      <c r="R68" s="3056"/>
      <c r="S68" s="2386" t="s">
        <v>1584</v>
      </c>
      <c r="T68" s="1640">
        <v>9000000</v>
      </c>
      <c r="U68" s="1639">
        <v>0</v>
      </c>
      <c r="V68" s="1639">
        <v>0</v>
      </c>
      <c r="W68" s="4225"/>
      <c r="X68" s="4225"/>
      <c r="Y68" s="4303"/>
      <c r="Z68" s="2928"/>
      <c r="AA68" s="4303"/>
      <c r="AB68" s="2928"/>
      <c r="AC68" s="4303"/>
      <c r="AD68" s="2928"/>
      <c r="AE68" s="4303"/>
      <c r="AF68" s="2928"/>
      <c r="AG68" s="4303"/>
      <c r="AH68" s="2928"/>
      <c r="AI68" s="4303"/>
      <c r="AJ68" s="2928"/>
      <c r="AK68" s="4303"/>
      <c r="AL68" s="2928"/>
      <c r="AM68" s="4285"/>
      <c r="AN68" s="2837"/>
      <c r="AO68" s="4303"/>
      <c r="AP68" s="2928"/>
      <c r="AQ68" s="4303"/>
      <c r="AR68" s="2928"/>
      <c r="AS68" s="4303"/>
      <c r="AT68" s="2928"/>
      <c r="AU68" s="4303"/>
      <c r="AV68" s="2928"/>
      <c r="AW68" s="4285"/>
      <c r="AX68" s="4307"/>
      <c r="AY68" s="4307"/>
      <c r="AZ68" s="3280"/>
      <c r="BA68" s="4285"/>
      <c r="BB68" s="2709"/>
      <c r="BC68" s="4278"/>
      <c r="BD68" s="4278"/>
      <c r="BE68" s="4278"/>
      <c r="BF68" s="4278"/>
      <c r="BG68" s="4280"/>
    </row>
    <row r="69" spans="1:59" s="3" customFormat="1" ht="15" x14ac:dyDescent="0.2">
      <c r="A69" s="4233"/>
      <c r="B69" s="4227"/>
      <c r="C69" s="3044"/>
      <c r="D69" s="3045"/>
      <c r="E69" s="580">
        <v>64</v>
      </c>
      <c r="F69" s="1987" t="s">
        <v>1585</v>
      </c>
      <c r="G69" s="1988"/>
      <c r="H69" s="1988"/>
      <c r="I69" s="1988"/>
      <c r="J69" s="1988"/>
      <c r="K69" s="411"/>
      <c r="L69" s="1988"/>
      <c r="M69" s="1988"/>
      <c r="N69" s="1988"/>
      <c r="O69" s="1988"/>
      <c r="P69" s="1988"/>
      <c r="Q69" s="1988"/>
      <c r="R69" s="1988"/>
      <c r="S69" s="1988"/>
      <c r="T69" s="1988"/>
      <c r="U69" s="1984"/>
      <c r="V69" s="1984"/>
      <c r="W69" s="1988"/>
      <c r="X69" s="1988"/>
      <c r="Y69" s="1988"/>
      <c r="Z69" s="411"/>
      <c r="AA69" s="1988"/>
      <c r="AB69" s="411"/>
      <c r="AC69" s="1988"/>
      <c r="AD69" s="411"/>
      <c r="AE69" s="1988"/>
      <c r="AF69" s="411"/>
      <c r="AG69" s="1988"/>
      <c r="AH69" s="411"/>
      <c r="AI69" s="1988"/>
      <c r="AJ69" s="411"/>
      <c r="AK69" s="1988"/>
      <c r="AL69" s="411"/>
      <c r="AM69" s="1988"/>
      <c r="AN69" s="411"/>
      <c r="AO69" s="1988"/>
      <c r="AP69" s="411"/>
      <c r="AQ69" s="1988"/>
      <c r="AR69" s="411"/>
      <c r="AS69" s="1988"/>
      <c r="AT69" s="411"/>
      <c r="AU69" s="1988"/>
      <c r="AV69" s="411"/>
      <c r="AW69" s="1988"/>
      <c r="AX69" s="1988"/>
      <c r="AY69" s="1988"/>
      <c r="AZ69" s="1988"/>
      <c r="BA69" s="1988"/>
      <c r="BB69" s="1988"/>
      <c r="BC69" s="1988"/>
      <c r="BD69" s="411"/>
      <c r="BE69" s="1988"/>
      <c r="BF69" s="411"/>
      <c r="BG69" s="1989"/>
    </row>
    <row r="70" spans="1:59" s="3" customFormat="1" ht="57.75" customHeight="1" x14ac:dyDescent="0.2">
      <c r="A70" s="4233"/>
      <c r="B70" s="4227"/>
      <c r="C70" s="3044"/>
      <c r="D70" s="3045"/>
      <c r="E70" s="4236"/>
      <c r="F70" s="4237"/>
      <c r="G70" s="4334">
        <v>195</v>
      </c>
      <c r="H70" s="4268" t="s">
        <v>1586</v>
      </c>
      <c r="I70" s="4337" t="s">
        <v>1578</v>
      </c>
      <c r="J70" s="4369">
        <v>1</v>
      </c>
      <c r="K70" s="4294">
        <v>0.5</v>
      </c>
      <c r="L70" s="4369" t="s">
        <v>1587</v>
      </c>
      <c r="M70" s="4259">
        <v>123</v>
      </c>
      <c r="N70" s="4373" t="s">
        <v>1588</v>
      </c>
      <c r="O70" s="2708">
        <v>100</v>
      </c>
      <c r="P70" s="4297">
        <v>23800000</v>
      </c>
      <c r="Q70" s="4268" t="s">
        <v>1551</v>
      </c>
      <c r="R70" s="3055" t="s">
        <v>1589</v>
      </c>
      <c r="S70" s="2116" t="s">
        <v>1471</v>
      </c>
      <c r="T70" s="2289">
        <v>3800000</v>
      </c>
      <c r="U70" s="2109">
        <v>3800000</v>
      </c>
      <c r="V70" s="2109">
        <v>3800000</v>
      </c>
      <c r="W70" s="2708">
        <v>20</v>
      </c>
      <c r="X70" s="2708" t="s">
        <v>130</v>
      </c>
      <c r="Y70" s="4372"/>
      <c r="Z70" s="4327"/>
      <c r="AA70" s="4372"/>
      <c r="AB70" s="4327"/>
      <c r="AC70" s="4372"/>
      <c r="AD70" s="4327"/>
      <c r="AE70" s="4372"/>
      <c r="AF70" s="4327"/>
      <c r="AG70" s="4372"/>
      <c r="AH70" s="4327"/>
      <c r="AI70" s="4372"/>
      <c r="AJ70" s="4327"/>
      <c r="AK70" s="4372"/>
      <c r="AL70" s="4327"/>
      <c r="AM70" s="4372"/>
      <c r="AN70" s="4327"/>
      <c r="AO70" s="4372"/>
      <c r="AP70" s="4327"/>
      <c r="AQ70" s="4372"/>
      <c r="AR70" s="4327"/>
      <c r="AS70" s="4372"/>
      <c r="AT70" s="4327"/>
      <c r="AU70" s="4372"/>
      <c r="AV70" s="4327"/>
      <c r="AW70" s="4377">
        <v>2</v>
      </c>
      <c r="AX70" s="4375">
        <v>23800000</v>
      </c>
      <c r="AY70" s="4375">
        <v>23800000</v>
      </c>
      <c r="AZ70" s="3278">
        <f>+AY70/AX70</f>
        <v>1</v>
      </c>
      <c r="BA70" s="4377">
        <v>20</v>
      </c>
      <c r="BB70" s="4378" t="s">
        <v>1590</v>
      </c>
      <c r="BC70" s="4277">
        <v>42494</v>
      </c>
      <c r="BD70" s="4279">
        <v>42494</v>
      </c>
      <c r="BE70" s="4277">
        <v>42553</v>
      </c>
      <c r="BF70" s="4279">
        <v>42553</v>
      </c>
      <c r="BG70" s="4305" t="s">
        <v>1450</v>
      </c>
    </row>
    <row r="71" spans="1:59" s="3" customFormat="1" ht="68.25" customHeight="1" x14ac:dyDescent="0.2">
      <c r="A71" s="4233"/>
      <c r="B71" s="4227"/>
      <c r="C71" s="3044"/>
      <c r="D71" s="3045"/>
      <c r="E71" s="4236"/>
      <c r="F71" s="4237"/>
      <c r="G71" s="4335"/>
      <c r="H71" s="4269"/>
      <c r="I71" s="4337"/>
      <c r="J71" s="4291"/>
      <c r="K71" s="4295"/>
      <c r="L71" s="4291"/>
      <c r="M71" s="4260"/>
      <c r="N71" s="4374"/>
      <c r="O71" s="2709"/>
      <c r="P71" s="3453"/>
      <c r="Q71" s="4269"/>
      <c r="R71" s="3056"/>
      <c r="S71" s="2107" t="s">
        <v>1525</v>
      </c>
      <c r="T71" s="2133">
        <v>20000000</v>
      </c>
      <c r="U71" s="2109">
        <v>20000000</v>
      </c>
      <c r="V71" s="2109">
        <v>20000000</v>
      </c>
      <c r="W71" s="2709"/>
      <c r="X71" s="2709"/>
      <c r="Y71" s="4325"/>
      <c r="Z71" s="4329"/>
      <c r="AA71" s="4325"/>
      <c r="AB71" s="4329"/>
      <c r="AC71" s="4325"/>
      <c r="AD71" s="4329"/>
      <c r="AE71" s="4325"/>
      <c r="AF71" s="4329"/>
      <c r="AG71" s="4325"/>
      <c r="AH71" s="4329"/>
      <c r="AI71" s="4325"/>
      <c r="AJ71" s="4329"/>
      <c r="AK71" s="4325"/>
      <c r="AL71" s="4329"/>
      <c r="AM71" s="4325"/>
      <c r="AN71" s="4329"/>
      <c r="AO71" s="4325"/>
      <c r="AP71" s="4329"/>
      <c r="AQ71" s="4325"/>
      <c r="AR71" s="4329"/>
      <c r="AS71" s="4325"/>
      <c r="AT71" s="4329"/>
      <c r="AU71" s="4325"/>
      <c r="AV71" s="4329"/>
      <c r="AW71" s="4325"/>
      <c r="AX71" s="4376"/>
      <c r="AY71" s="4376"/>
      <c r="AZ71" s="3280"/>
      <c r="BA71" s="4325"/>
      <c r="BB71" s="4379"/>
      <c r="BC71" s="4278"/>
      <c r="BD71" s="2937"/>
      <c r="BE71" s="4278"/>
      <c r="BF71" s="2937"/>
      <c r="BG71" s="4280"/>
    </row>
    <row r="72" spans="1:59" s="3" customFormat="1" ht="52.5" customHeight="1" x14ac:dyDescent="0.2">
      <c r="A72" s="4233"/>
      <c r="B72" s="4227"/>
      <c r="C72" s="3044"/>
      <c r="D72" s="3045"/>
      <c r="E72" s="4236"/>
      <c r="F72" s="4237"/>
      <c r="G72" s="4333">
        <v>195</v>
      </c>
      <c r="H72" s="4314" t="s">
        <v>1586</v>
      </c>
      <c r="I72" s="4336" t="s">
        <v>1591</v>
      </c>
      <c r="J72" s="3964">
        <v>1</v>
      </c>
      <c r="K72" s="4361">
        <v>0.5</v>
      </c>
      <c r="L72" s="4312" t="s">
        <v>1592</v>
      </c>
      <c r="M72" s="4258">
        <v>124</v>
      </c>
      <c r="N72" s="2786" t="s">
        <v>1593</v>
      </c>
      <c r="O72" s="3989">
        <v>100</v>
      </c>
      <c r="P72" s="4272">
        <v>76200000</v>
      </c>
      <c r="Q72" s="4314" t="s">
        <v>1551</v>
      </c>
      <c r="R72" s="3054" t="s">
        <v>1589</v>
      </c>
      <c r="S72" s="2386" t="s">
        <v>1594</v>
      </c>
      <c r="T72" s="1640">
        <v>7600000</v>
      </c>
      <c r="U72" s="1639">
        <v>7600000</v>
      </c>
      <c r="V72" s="1639">
        <v>7600000</v>
      </c>
      <c r="W72" s="4273">
        <v>20</v>
      </c>
      <c r="X72" s="4274" t="s">
        <v>130</v>
      </c>
      <c r="Y72" s="3915"/>
      <c r="Z72" s="2835"/>
      <c r="AA72" s="4299"/>
      <c r="AB72" s="2927"/>
      <c r="AC72" s="4299"/>
      <c r="AD72" s="2927"/>
      <c r="AE72" s="4299"/>
      <c r="AF72" s="2927"/>
      <c r="AG72" s="4299"/>
      <c r="AH72" s="2927"/>
      <c r="AI72" s="4299"/>
      <c r="AJ72" s="2927"/>
      <c r="AK72" s="3915"/>
      <c r="AL72" s="2835"/>
      <c r="AM72" s="4299"/>
      <c r="AN72" s="2927"/>
      <c r="AO72" s="4299"/>
      <c r="AP72" s="2927"/>
      <c r="AQ72" s="4299"/>
      <c r="AR72" s="2927"/>
      <c r="AS72" s="4299"/>
      <c r="AT72" s="2927"/>
      <c r="AU72" s="4299"/>
      <c r="AV72" s="2927"/>
      <c r="AW72" s="3915">
        <v>7</v>
      </c>
      <c r="AX72" s="4306">
        <v>70600000</v>
      </c>
      <c r="AY72" s="4282">
        <v>70600000</v>
      </c>
      <c r="AZ72" s="3278">
        <f>AY72/AX72</f>
        <v>1</v>
      </c>
      <c r="BA72" s="3915">
        <v>20</v>
      </c>
      <c r="BB72" s="2707" t="s">
        <v>1595</v>
      </c>
      <c r="BC72" s="4381">
        <v>42614</v>
      </c>
      <c r="BD72" s="4382">
        <v>42614</v>
      </c>
      <c r="BE72" s="4301">
        <v>42721</v>
      </c>
      <c r="BF72" s="4302">
        <v>42721</v>
      </c>
      <c r="BG72" s="4304" t="s">
        <v>1450</v>
      </c>
    </row>
    <row r="73" spans="1:59" s="3" customFormat="1" ht="76.5" customHeight="1" x14ac:dyDescent="0.2">
      <c r="A73" s="4233"/>
      <c r="B73" s="4227"/>
      <c r="C73" s="3044"/>
      <c r="D73" s="3045"/>
      <c r="E73" s="4236"/>
      <c r="F73" s="4237"/>
      <c r="G73" s="4334"/>
      <c r="H73" s="4268"/>
      <c r="I73" s="4337"/>
      <c r="J73" s="3964"/>
      <c r="K73" s="4362"/>
      <c r="L73" s="4256"/>
      <c r="M73" s="4259"/>
      <c r="N73" s="2787"/>
      <c r="O73" s="3989"/>
      <c r="P73" s="4272"/>
      <c r="Q73" s="4268"/>
      <c r="R73" s="3055"/>
      <c r="S73" s="2386" t="s">
        <v>1596</v>
      </c>
      <c r="T73" s="1640">
        <v>50000000</v>
      </c>
      <c r="U73" s="1639">
        <v>50000000</v>
      </c>
      <c r="V73" s="1639">
        <v>50000000</v>
      </c>
      <c r="W73" s="4274"/>
      <c r="X73" s="4274"/>
      <c r="Y73" s="3916"/>
      <c r="Z73" s="2836"/>
      <c r="AA73" s="3931"/>
      <c r="AB73" s="3917"/>
      <c r="AC73" s="3931"/>
      <c r="AD73" s="3917"/>
      <c r="AE73" s="3931"/>
      <c r="AF73" s="3917"/>
      <c r="AG73" s="3931"/>
      <c r="AH73" s="3917"/>
      <c r="AI73" s="3931"/>
      <c r="AJ73" s="3917"/>
      <c r="AK73" s="3916"/>
      <c r="AL73" s="2836"/>
      <c r="AM73" s="3931"/>
      <c r="AN73" s="3917"/>
      <c r="AO73" s="3931"/>
      <c r="AP73" s="3917"/>
      <c r="AQ73" s="3931"/>
      <c r="AR73" s="3917"/>
      <c r="AS73" s="3931"/>
      <c r="AT73" s="3917"/>
      <c r="AU73" s="3931"/>
      <c r="AV73" s="3917"/>
      <c r="AW73" s="3916"/>
      <c r="AX73" s="4320"/>
      <c r="AY73" s="4283"/>
      <c r="AZ73" s="3279"/>
      <c r="BA73" s="3916"/>
      <c r="BB73" s="2708"/>
      <c r="BC73" s="2708"/>
      <c r="BD73" s="2822"/>
      <c r="BE73" s="3989"/>
      <c r="BF73" s="4319"/>
      <c r="BG73" s="4304"/>
    </row>
    <row r="74" spans="1:59" s="3" customFormat="1" ht="49.5" customHeight="1" x14ac:dyDescent="0.2">
      <c r="A74" s="4233"/>
      <c r="B74" s="4227"/>
      <c r="C74" s="3044"/>
      <c r="D74" s="3045"/>
      <c r="E74" s="4238"/>
      <c r="F74" s="4239"/>
      <c r="G74" s="4335"/>
      <c r="H74" s="4269"/>
      <c r="I74" s="4338"/>
      <c r="J74" s="3964"/>
      <c r="K74" s="4371"/>
      <c r="L74" s="4257"/>
      <c r="M74" s="4260"/>
      <c r="N74" s="2788"/>
      <c r="O74" s="3989"/>
      <c r="P74" s="4272"/>
      <c r="Q74" s="4269"/>
      <c r="R74" s="3056"/>
      <c r="S74" s="2386" t="s">
        <v>1597</v>
      </c>
      <c r="T74" s="1640">
        <v>18600000</v>
      </c>
      <c r="U74" s="1639">
        <v>13000000</v>
      </c>
      <c r="V74" s="1639">
        <v>13000000</v>
      </c>
      <c r="W74" s="4275"/>
      <c r="X74" s="4275"/>
      <c r="Y74" s="4285"/>
      <c r="Z74" s="2837"/>
      <c r="AA74" s="4300"/>
      <c r="AB74" s="2928"/>
      <c r="AC74" s="4300"/>
      <c r="AD74" s="2928"/>
      <c r="AE74" s="4300"/>
      <c r="AF74" s="2928"/>
      <c r="AG74" s="4300"/>
      <c r="AH74" s="2928"/>
      <c r="AI74" s="4300"/>
      <c r="AJ74" s="2928"/>
      <c r="AK74" s="4285"/>
      <c r="AL74" s="2837"/>
      <c r="AM74" s="4300"/>
      <c r="AN74" s="2928"/>
      <c r="AO74" s="4300"/>
      <c r="AP74" s="2928"/>
      <c r="AQ74" s="4300"/>
      <c r="AR74" s="2928"/>
      <c r="AS74" s="4300"/>
      <c r="AT74" s="2928"/>
      <c r="AU74" s="4300"/>
      <c r="AV74" s="2928"/>
      <c r="AW74" s="4285"/>
      <c r="AX74" s="4307"/>
      <c r="AY74" s="4284"/>
      <c r="AZ74" s="3280"/>
      <c r="BA74" s="4285"/>
      <c r="BB74" s="2709"/>
      <c r="BC74" s="2709"/>
      <c r="BD74" s="2823"/>
      <c r="BE74" s="3989"/>
      <c r="BF74" s="4319"/>
      <c r="BG74" s="4304"/>
    </row>
    <row r="75" spans="1:59" s="3" customFormat="1" ht="15" x14ac:dyDescent="0.2">
      <c r="A75" s="4233"/>
      <c r="B75" s="4227"/>
      <c r="C75" s="3044"/>
      <c r="D75" s="3045"/>
      <c r="E75" s="1971">
        <v>65</v>
      </c>
      <c r="F75" s="1960" t="s">
        <v>1598</v>
      </c>
      <c r="G75" s="1961"/>
      <c r="H75" s="1961"/>
      <c r="I75" s="1961"/>
      <c r="J75" s="1961"/>
      <c r="K75" s="538"/>
      <c r="L75" s="1961"/>
      <c r="M75" s="1961"/>
      <c r="N75" s="1961"/>
      <c r="O75" s="1961"/>
      <c r="P75" s="1961"/>
      <c r="Q75" s="1961"/>
      <c r="R75" s="1961"/>
      <c r="S75" s="1961"/>
      <c r="T75" s="1961"/>
      <c r="U75" s="1962"/>
      <c r="V75" s="1962"/>
      <c r="W75" s="1961"/>
      <c r="X75" s="1961"/>
      <c r="Y75" s="1961"/>
      <c r="Z75" s="538"/>
      <c r="AA75" s="1961"/>
      <c r="AB75" s="538"/>
      <c r="AC75" s="1961"/>
      <c r="AD75" s="538"/>
      <c r="AE75" s="1961"/>
      <c r="AF75" s="538"/>
      <c r="AG75" s="1961"/>
      <c r="AH75" s="538"/>
      <c r="AI75" s="1961"/>
      <c r="AJ75" s="538"/>
      <c r="AK75" s="1961"/>
      <c r="AL75" s="538"/>
      <c r="AM75" s="1961"/>
      <c r="AN75" s="538"/>
      <c r="AO75" s="1961"/>
      <c r="AP75" s="538"/>
      <c r="AQ75" s="1961"/>
      <c r="AR75" s="538"/>
      <c r="AS75" s="1961"/>
      <c r="AT75" s="538"/>
      <c r="AU75" s="1961"/>
      <c r="AV75" s="538"/>
      <c r="AW75" s="1961"/>
      <c r="AX75" s="1961"/>
      <c r="AY75" s="1961"/>
      <c r="AZ75" s="1961"/>
      <c r="BA75" s="1961"/>
      <c r="BB75" s="1961"/>
      <c r="BC75" s="1961"/>
      <c r="BD75" s="538"/>
      <c r="BE75" s="1961"/>
      <c r="BF75" s="538"/>
      <c r="BG75" s="1963"/>
    </row>
    <row r="76" spans="1:59" s="3" customFormat="1" ht="65.25" customHeight="1" x14ac:dyDescent="0.2">
      <c r="A76" s="4233"/>
      <c r="B76" s="4227"/>
      <c r="C76" s="3044"/>
      <c r="D76" s="3045"/>
      <c r="E76" s="3042"/>
      <c r="F76" s="3043"/>
      <c r="G76" s="4333">
        <v>196</v>
      </c>
      <c r="H76" s="4314" t="s">
        <v>1599</v>
      </c>
      <c r="I76" s="4314" t="s">
        <v>1600</v>
      </c>
      <c r="J76" s="4380">
        <v>1</v>
      </c>
      <c r="K76" s="4352">
        <v>0.4</v>
      </c>
      <c r="L76" s="4312" t="s">
        <v>1601</v>
      </c>
      <c r="M76" s="4258">
        <v>125</v>
      </c>
      <c r="N76" s="4314" t="s">
        <v>1602</v>
      </c>
      <c r="O76" s="3989">
        <v>100</v>
      </c>
      <c r="P76" s="4272">
        <v>40000000</v>
      </c>
      <c r="Q76" s="4314" t="s">
        <v>1551</v>
      </c>
      <c r="R76" s="3054" t="s">
        <v>1603</v>
      </c>
      <c r="S76" s="1681" t="s">
        <v>1604</v>
      </c>
      <c r="T76" s="1682">
        <v>39000000</v>
      </c>
      <c r="U76" s="1789">
        <v>34399997</v>
      </c>
      <c r="V76" s="1789">
        <v>34399997</v>
      </c>
      <c r="W76" s="4273">
        <v>20</v>
      </c>
      <c r="X76" s="4274" t="s">
        <v>130</v>
      </c>
      <c r="Y76" s="4299"/>
      <c r="Z76" s="2927"/>
      <c r="AA76" s="4299"/>
      <c r="AB76" s="2927"/>
      <c r="AC76" s="4299"/>
      <c r="AD76" s="2927"/>
      <c r="AE76" s="4299"/>
      <c r="AF76" s="2927"/>
      <c r="AG76" s="4299"/>
      <c r="AH76" s="2927"/>
      <c r="AI76" s="4299"/>
      <c r="AJ76" s="2927"/>
      <c r="AK76" s="3915">
        <v>13208</v>
      </c>
      <c r="AL76" s="2835">
        <v>0</v>
      </c>
      <c r="AM76" s="4299"/>
      <c r="AN76" s="2927"/>
      <c r="AO76" s="4299"/>
      <c r="AP76" s="2927"/>
      <c r="AQ76" s="4299"/>
      <c r="AR76" s="2927"/>
      <c r="AS76" s="4299"/>
      <c r="AT76" s="2927"/>
      <c r="AU76" s="4299"/>
      <c r="AV76" s="2927"/>
      <c r="AW76" s="3915">
        <v>11</v>
      </c>
      <c r="AX76" s="4306">
        <f>+U76</f>
        <v>34399997</v>
      </c>
      <c r="AY76" s="4306">
        <f>+V76</f>
        <v>34399997</v>
      </c>
      <c r="AZ76" s="3278">
        <f>AY76/AX76</f>
        <v>1</v>
      </c>
      <c r="BA76" s="3915">
        <v>20</v>
      </c>
      <c r="BB76" s="2707" t="s">
        <v>1590</v>
      </c>
      <c r="BC76" s="4276">
        <v>42650</v>
      </c>
      <c r="BD76" s="4276">
        <v>42650</v>
      </c>
      <c r="BE76" s="4276">
        <v>42731</v>
      </c>
      <c r="BF76" s="2936">
        <v>42731</v>
      </c>
      <c r="BG76" s="4304" t="s">
        <v>1450</v>
      </c>
    </row>
    <row r="77" spans="1:59" s="3" customFormat="1" ht="72" customHeight="1" x14ac:dyDescent="0.2">
      <c r="A77" s="4233"/>
      <c r="B77" s="4227"/>
      <c r="C77" s="3044"/>
      <c r="D77" s="3045"/>
      <c r="E77" s="3044"/>
      <c r="F77" s="3045"/>
      <c r="G77" s="4334"/>
      <c r="H77" s="4268"/>
      <c r="I77" s="4268"/>
      <c r="J77" s="4380"/>
      <c r="K77" s="4353"/>
      <c r="L77" s="4256"/>
      <c r="M77" s="4259"/>
      <c r="N77" s="4268"/>
      <c r="O77" s="3989"/>
      <c r="P77" s="4272"/>
      <c r="Q77" s="4268"/>
      <c r="R77" s="3055"/>
      <c r="S77" s="1681" t="s">
        <v>1605</v>
      </c>
      <c r="T77" s="1682">
        <v>500000</v>
      </c>
      <c r="U77" s="1789">
        <v>0</v>
      </c>
      <c r="V77" s="1789">
        <v>0</v>
      </c>
      <c r="W77" s="4274"/>
      <c r="X77" s="4274"/>
      <c r="Y77" s="3931"/>
      <c r="Z77" s="3917"/>
      <c r="AA77" s="3931"/>
      <c r="AB77" s="3917"/>
      <c r="AC77" s="3931"/>
      <c r="AD77" s="3917"/>
      <c r="AE77" s="3931"/>
      <c r="AF77" s="3917"/>
      <c r="AG77" s="3931"/>
      <c r="AH77" s="3917"/>
      <c r="AI77" s="3931"/>
      <c r="AJ77" s="3917"/>
      <c r="AK77" s="3916"/>
      <c r="AL77" s="2836"/>
      <c r="AM77" s="3931"/>
      <c r="AN77" s="3917"/>
      <c r="AO77" s="3931"/>
      <c r="AP77" s="3917"/>
      <c r="AQ77" s="3931"/>
      <c r="AR77" s="3917"/>
      <c r="AS77" s="3931"/>
      <c r="AT77" s="3917"/>
      <c r="AU77" s="3931"/>
      <c r="AV77" s="3917"/>
      <c r="AW77" s="3916"/>
      <c r="AX77" s="4320"/>
      <c r="AY77" s="4320"/>
      <c r="AZ77" s="3279"/>
      <c r="BA77" s="3916"/>
      <c r="BB77" s="2708"/>
      <c r="BC77" s="4277"/>
      <c r="BD77" s="4277"/>
      <c r="BE77" s="3916"/>
      <c r="BF77" s="2836"/>
      <c r="BG77" s="4304"/>
    </row>
    <row r="78" spans="1:59" s="3" customFormat="1" ht="68.25" customHeight="1" x14ac:dyDescent="0.2">
      <c r="A78" s="4233"/>
      <c r="B78" s="4227"/>
      <c r="C78" s="3044"/>
      <c r="D78" s="3045"/>
      <c r="E78" s="3046"/>
      <c r="F78" s="3047"/>
      <c r="G78" s="4335"/>
      <c r="H78" s="4269"/>
      <c r="I78" s="4269"/>
      <c r="J78" s="4380"/>
      <c r="K78" s="4354"/>
      <c r="L78" s="4257"/>
      <c r="M78" s="4260"/>
      <c r="N78" s="4269"/>
      <c r="O78" s="3989"/>
      <c r="P78" s="4272"/>
      <c r="Q78" s="4269"/>
      <c r="R78" s="3056"/>
      <c r="S78" s="2480" t="s">
        <v>1606</v>
      </c>
      <c r="T78" s="1682">
        <v>500000</v>
      </c>
      <c r="U78" s="1789">
        <v>0</v>
      </c>
      <c r="V78" s="1789">
        <v>0</v>
      </c>
      <c r="W78" s="4275"/>
      <c r="X78" s="4275"/>
      <c r="Y78" s="4300"/>
      <c r="Z78" s="2928"/>
      <c r="AA78" s="4300"/>
      <c r="AB78" s="2928"/>
      <c r="AC78" s="4300"/>
      <c r="AD78" s="2928"/>
      <c r="AE78" s="4300"/>
      <c r="AF78" s="2928"/>
      <c r="AG78" s="4300"/>
      <c r="AH78" s="2928"/>
      <c r="AI78" s="4300"/>
      <c r="AJ78" s="2928"/>
      <c r="AK78" s="4285"/>
      <c r="AL78" s="2837"/>
      <c r="AM78" s="4300"/>
      <c r="AN78" s="2928"/>
      <c r="AO78" s="4300"/>
      <c r="AP78" s="2928"/>
      <c r="AQ78" s="4300"/>
      <c r="AR78" s="2928"/>
      <c r="AS78" s="4300"/>
      <c r="AT78" s="2928"/>
      <c r="AU78" s="4300"/>
      <c r="AV78" s="2928"/>
      <c r="AW78" s="4285"/>
      <c r="AX78" s="4307"/>
      <c r="AY78" s="4307"/>
      <c r="AZ78" s="3280"/>
      <c r="BA78" s="4285"/>
      <c r="BB78" s="2709"/>
      <c r="BC78" s="4278"/>
      <c r="BD78" s="4278"/>
      <c r="BE78" s="4285"/>
      <c r="BF78" s="2837"/>
      <c r="BG78" s="4304"/>
    </row>
    <row r="79" spans="1:59" s="3" customFormat="1" ht="15" x14ac:dyDescent="0.2">
      <c r="A79" s="4233"/>
      <c r="B79" s="4227"/>
      <c r="C79" s="3044"/>
      <c r="D79" s="3045"/>
      <c r="E79" s="660">
        <v>66</v>
      </c>
      <c r="F79" s="1960" t="s">
        <v>1607</v>
      </c>
      <c r="G79" s="1961"/>
      <c r="H79" s="1961"/>
      <c r="I79" s="1961"/>
      <c r="J79" s="1961"/>
      <c r="K79" s="538"/>
      <c r="L79" s="1961"/>
      <c r="M79" s="1961"/>
      <c r="N79" s="1961"/>
      <c r="O79" s="1961"/>
      <c r="P79" s="1961"/>
      <c r="Q79" s="1961"/>
      <c r="R79" s="1961"/>
      <c r="S79" s="1961"/>
      <c r="T79" s="1961"/>
      <c r="U79" s="1962"/>
      <c r="V79" s="1962"/>
      <c r="W79" s="1961"/>
      <c r="X79" s="1961"/>
      <c r="Y79" s="1961"/>
      <c r="Z79" s="538"/>
      <c r="AA79" s="1961"/>
      <c r="AB79" s="538"/>
      <c r="AC79" s="1961"/>
      <c r="AD79" s="538"/>
      <c r="AE79" s="1961"/>
      <c r="AF79" s="538"/>
      <c r="AG79" s="1961"/>
      <c r="AH79" s="538"/>
      <c r="AI79" s="1961"/>
      <c r="AJ79" s="538"/>
      <c r="AK79" s="1961"/>
      <c r="AL79" s="538"/>
      <c r="AM79" s="1961"/>
      <c r="AN79" s="538"/>
      <c r="AO79" s="1961"/>
      <c r="AP79" s="538"/>
      <c r="AQ79" s="1961"/>
      <c r="AR79" s="538"/>
      <c r="AS79" s="1961"/>
      <c r="AT79" s="538"/>
      <c r="AU79" s="1961"/>
      <c r="AV79" s="538"/>
      <c r="AW79" s="1961"/>
      <c r="AX79" s="1961"/>
      <c r="AY79" s="1961"/>
      <c r="AZ79" s="1961"/>
      <c r="BA79" s="1961"/>
      <c r="BB79" s="1961"/>
      <c r="BC79" s="1961"/>
      <c r="BD79" s="538"/>
      <c r="BE79" s="1961"/>
      <c r="BF79" s="538"/>
      <c r="BG79" s="1963"/>
    </row>
    <row r="80" spans="1:59" s="3" customFormat="1" ht="77.25" customHeight="1" x14ac:dyDescent="0.2">
      <c r="A80" s="4233"/>
      <c r="B80" s="4227"/>
      <c r="C80" s="3044"/>
      <c r="D80" s="3045"/>
      <c r="E80" s="4346"/>
      <c r="F80" s="4347"/>
      <c r="G80" s="4290">
        <v>197</v>
      </c>
      <c r="H80" s="2786" t="s">
        <v>1608</v>
      </c>
      <c r="I80" s="4314" t="s">
        <v>1609</v>
      </c>
      <c r="J80" s="4290">
        <v>1</v>
      </c>
      <c r="K80" s="4294">
        <v>1</v>
      </c>
      <c r="L80" s="2482" t="s">
        <v>1610</v>
      </c>
      <c r="M80" s="1683">
        <v>126</v>
      </c>
      <c r="N80" s="2474" t="s">
        <v>1611</v>
      </c>
      <c r="O80" s="2107">
        <v>100</v>
      </c>
      <c r="P80" s="2292">
        <v>4000000</v>
      </c>
      <c r="Q80" s="4314" t="s">
        <v>1551</v>
      </c>
      <c r="R80" s="3054" t="s">
        <v>1612</v>
      </c>
      <c r="S80" s="2107" t="s">
        <v>1471</v>
      </c>
      <c r="T80" s="2133">
        <v>4000000</v>
      </c>
      <c r="U80" s="2109">
        <v>4000000</v>
      </c>
      <c r="V80" s="2109">
        <v>4000000</v>
      </c>
      <c r="W80" s="2107">
        <v>20</v>
      </c>
      <c r="X80" s="2107" t="s">
        <v>130</v>
      </c>
      <c r="Y80" s="1684"/>
      <c r="Z80" s="1685"/>
      <c r="AA80" s="1684"/>
      <c r="AB80" s="1685"/>
      <c r="AC80" s="1686">
        <v>31285</v>
      </c>
      <c r="AD80" s="1687">
        <v>31285</v>
      </c>
      <c r="AE80" s="1686">
        <v>48714</v>
      </c>
      <c r="AF80" s="1687">
        <v>48714</v>
      </c>
      <c r="AG80" s="1686">
        <v>79975</v>
      </c>
      <c r="AH80" s="1687">
        <v>79975</v>
      </c>
      <c r="AI80" s="1686">
        <v>122258</v>
      </c>
      <c r="AJ80" s="1687">
        <v>122258</v>
      </c>
      <c r="AK80" s="1684"/>
      <c r="AL80" s="1685"/>
      <c r="AM80" s="1684"/>
      <c r="AN80" s="1685"/>
      <c r="AO80" s="1684"/>
      <c r="AP80" s="1685"/>
      <c r="AQ80" s="1684"/>
      <c r="AR80" s="1685"/>
      <c r="AS80" s="1684"/>
      <c r="AT80" s="1685"/>
      <c r="AU80" s="1670"/>
      <c r="AV80" s="1671"/>
      <c r="AW80" s="2383">
        <v>1</v>
      </c>
      <c r="AX80" s="1672">
        <v>4000000</v>
      </c>
      <c r="AY80" s="1672">
        <v>4000000</v>
      </c>
      <c r="AZ80" s="2272">
        <f>+AY80/AX80</f>
        <v>1</v>
      </c>
      <c r="BA80" s="2395">
        <v>20</v>
      </c>
      <c r="BB80" s="2105" t="s">
        <v>1613</v>
      </c>
      <c r="BC80" s="2472">
        <v>42419</v>
      </c>
      <c r="BD80" s="2160">
        <v>42419</v>
      </c>
      <c r="BE80" s="2472">
        <v>42503</v>
      </c>
      <c r="BF80" s="2160">
        <v>42503</v>
      </c>
      <c r="BG80" s="2457" t="s">
        <v>1450</v>
      </c>
    </row>
    <row r="81" spans="1:59" s="3" customFormat="1" ht="36" customHeight="1" x14ac:dyDescent="0.2">
      <c r="A81" s="4233"/>
      <c r="B81" s="4227"/>
      <c r="C81" s="3044"/>
      <c r="D81" s="3045"/>
      <c r="E81" s="4348"/>
      <c r="F81" s="4349"/>
      <c r="G81" s="4369"/>
      <c r="H81" s="2787"/>
      <c r="I81" s="4268"/>
      <c r="J81" s="4369"/>
      <c r="K81" s="4339"/>
      <c r="L81" s="4290" t="s">
        <v>1614</v>
      </c>
      <c r="M81" s="4258">
        <v>127</v>
      </c>
      <c r="N81" s="4383" t="s">
        <v>1615</v>
      </c>
      <c r="O81" s="2707">
        <v>100</v>
      </c>
      <c r="P81" s="3453">
        <v>9766666</v>
      </c>
      <c r="Q81" s="4268"/>
      <c r="R81" s="3055"/>
      <c r="S81" s="2107" t="s">
        <v>1471</v>
      </c>
      <c r="T81" s="2133">
        <v>4700000</v>
      </c>
      <c r="U81" s="2109">
        <v>4700000</v>
      </c>
      <c r="V81" s="2109">
        <v>4700000</v>
      </c>
      <c r="W81" s="2707">
        <v>20</v>
      </c>
      <c r="X81" s="2708" t="s">
        <v>130</v>
      </c>
      <c r="Y81" s="4390"/>
      <c r="Z81" s="4392"/>
      <c r="AA81" s="4390"/>
      <c r="AB81" s="4392"/>
      <c r="AC81" s="4386">
        <v>31285</v>
      </c>
      <c r="AD81" s="4388">
        <v>31285</v>
      </c>
      <c r="AE81" s="4386">
        <v>48714</v>
      </c>
      <c r="AF81" s="4388">
        <v>48714</v>
      </c>
      <c r="AG81" s="4386">
        <v>79975</v>
      </c>
      <c r="AH81" s="4388">
        <v>79975</v>
      </c>
      <c r="AI81" s="4386">
        <v>122258</v>
      </c>
      <c r="AJ81" s="4388">
        <v>122258</v>
      </c>
      <c r="AK81" s="4390"/>
      <c r="AL81" s="4392"/>
      <c r="AM81" s="4390"/>
      <c r="AN81" s="4392"/>
      <c r="AO81" s="4390"/>
      <c r="AP81" s="4392"/>
      <c r="AQ81" s="4390"/>
      <c r="AR81" s="4392"/>
      <c r="AS81" s="4390"/>
      <c r="AT81" s="4392"/>
      <c r="AU81" s="3931"/>
      <c r="AV81" s="3917"/>
      <c r="AW81" s="3916">
        <v>2</v>
      </c>
      <c r="AX81" s="4320">
        <v>9766666</v>
      </c>
      <c r="AY81" s="4320">
        <v>9766666</v>
      </c>
      <c r="AZ81" s="3279">
        <v>1</v>
      </c>
      <c r="BA81" s="3916">
        <v>20</v>
      </c>
      <c r="BB81" s="2708" t="s">
        <v>1613</v>
      </c>
      <c r="BC81" s="4276">
        <v>42419</v>
      </c>
      <c r="BD81" s="2936">
        <v>42419</v>
      </c>
      <c r="BE81" s="4276">
        <v>42585</v>
      </c>
      <c r="BF81" s="2936">
        <v>42585</v>
      </c>
      <c r="BG81" s="4280" t="s">
        <v>1450</v>
      </c>
    </row>
    <row r="82" spans="1:59" s="3" customFormat="1" ht="75" customHeight="1" x14ac:dyDescent="0.2">
      <c r="A82" s="4233"/>
      <c r="B82" s="4227"/>
      <c r="C82" s="3044"/>
      <c r="D82" s="3045"/>
      <c r="E82" s="4348"/>
      <c r="F82" s="4349"/>
      <c r="G82" s="4291"/>
      <c r="H82" s="2788"/>
      <c r="I82" s="4269"/>
      <c r="J82" s="4291"/>
      <c r="K82" s="4295"/>
      <c r="L82" s="4291"/>
      <c r="M82" s="4260"/>
      <c r="N82" s="4383"/>
      <c r="O82" s="2709"/>
      <c r="P82" s="3453"/>
      <c r="Q82" s="4269"/>
      <c r="R82" s="3056"/>
      <c r="S82" s="2107" t="s">
        <v>1473</v>
      </c>
      <c r="T82" s="2133">
        <v>5066666</v>
      </c>
      <c r="U82" s="2109">
        <v>5066666</v>
      </c>
      <c r="V82" s="2109">
        <v>5066666</v>
      </c>
      <c r="W82" s="2709"/>
      <c r="X82" s="2709"/>
      <c r="Y82" s="4391"/>
      <c r="Z82" s="4393"/>
      <c r="AA82" s="4391"/>
      <c r="AB82" s="4393"/>
      <c r="AC82" s="4387"/>
      <c r="AD82" s="4389"/>
      <c r="AE82" s="4387"/>
      <c r="AF82" s="4389"/>
      <c r="AG82" s="4387"/>
      <c r="AH82" s="4389"/>
      <c r="AI82" s="4387"/>
      <c r="AJ82" s="4389"/>
      <c r="AK82" s="4391"/>
      <c r="AL82" s="4393"/>
      <c r="AM82" s="4391"/>
      <c r="AN82" s="4393"/>
      <c r="AO82" s="4391"/>
      <c r="AP82" s="4393"/>
      <c r="AQ82" s="4391"/>
      <c r="AR82" s="4393"/>
      <c r="AS82" s="4391"/>
      <c r="AT82" s="4393"/>
      <c r="AU82" s="4300"/>
      <c r="AV82" s="2928"/>
      <c r="AW82" s="4285"/>
      <c r="AX82" s="4307"/>
      <c r="AY82" s="4307"/>
      <c r="AZ82" s="3280"/>
      <c r="BA82" s="4285"/>
      <c r="BB82" s="2709"/>
      <c r="BC82" s="4278"/>
      <c r="BD82" s="2937"/>
      <c r="BE82" s="4278"/>
      <c r="BF82" s="2937"/>
      <c r="BG82" s="4281"/>
    </row>
    <row r="83" spans="1:59" s="3" customFormat="1" ht="75.75" customHeight="1" x14ac:dyDescent="0.2">
      <c r="A83" s="4233"/>
      <c r="B83" s="4227"/>
      <c r="C83" s="3044"/>
      <c r="D83" s="3045"/>
      <c r="E83" s="4348"/>
      <c r="F83" s="4349"/>
      <c r="G83" s="4333">
        <v>197</v>
      </c>
      <c r="H83" s="2786" t="s">
        <v>1608</v>
      </c>
      <c r="I83" s="4314" t="s">
        <v>1609</v>
      </c>
      <c r="J83" s="3964">
        <v>1</v>
      </c>
      <c r="K83" s="2826">
        <v>1</v>
      </c>
      <c r="L83" s="4256" t="s">
        <v>1616</v>
      </c>
      <c r="M83" s="4259">
        <v>128</v>
      </c>
      <c r="N83" s="4314" t="s">
        <v>1617</v>
      </c>
      <c r="O83" s="3915">
        <v>100</v>
      </c>
      <c r="P83" s="4272">
        <v>36233334</v>
      </c>
      <c r="Q83" s="4314" t="s">
        <v>1551</v>
      </c>
      <c r="R83" s="3054" t="s">
        <v>1612</v>
      </c>
      <c r="S83" s="2386" t="s">
        <v>1618</v>
      </c>
      <c r="T83" s="1688">
        <v>0</v>
      </c>
      <c r="U83" s="1639">
        <v>0</v>
      </c>
      <c r="V83" s="1639">
        <v>0</v>
      </c>
      <c r="W83" s="4273">
        <v>20</v>
      </c>
      <c r="X83" s="4273" t="s">
        <v>130</v>
      </c>
      <c r="Y83" s="4394"/>
      <c r="Z83" s="4397"/>
      <c r="AA83" s="4394"/>
      <c r="AB83" s="4397"/>
      <c r="AC83" s="4386">
        <v>31285</v>
      </c>
      <c r="AD83" s="4388">
        <v>0</v>
      </c>
      <c r="AE83" s="4386">
        <v>48714</v>
      </c>
      <c r="AF83" s="4388">
        <v>0</v>
      </c>
      <c r="AG83" s="4386">
        <v>79975</v>
      </c>
      <c r="AH83" s="4388">
        <v>0</v>
      </c>
      <c r="AI83" s="4386">
        <v>122258</v>
      </c>
      <c r="AJ83" s="4388">
        <v>0</v>
      </c>
      <c r="AK83" s="4299"/>
      <c r="AL83" s="2927"/>
      <c r="AM83" s="4299"/>
      <c r="AN83" s="2927"/>
      <c r="AO83" s="4299"/>
      <c r="AP83" s="2927"/>
      <c r="AQ83" s="4299"/>
      <c r="AR83" s="2927"/>
      <c r="AS83" s="4299"/>
      <c r="AT83" s="2927"/>
      <c r="AU83" s="4299"/>
      <c r="AV83" s="2927"/>
      <c r="AW83" s="4402">
        <v>6</v>
      </c>
      <c r="AX83" s="4306">
        <v>33390809</v>
      </c>
      <c r="AY83" s="4306">
        <v>33390809</v>
      </c>
      <c r="AZ83" s="3278">
        <f>AY83/AX83</f>
        <v>1</v>
      </c>
      <c r="BA83" s="3915">
        <v>20</v>
      </c>
      <c r="BB83" s="2707" t="s">
        <v>1590</v>
      </c>
      <c r="BC83" s="4301">
        <v>42683</v>
      </c>
      <c r="BD83" s="4302">
        <v>42683</v>
      </c>
      <c r="BE83" s="4301">
        <v>42731</v>
      </c>
      <c r="BF83" s="4302">
        <v>42731</v>
      </c>
      <c r="BG83" s="4304" t="s">
        <v>1450</v>
      </c>
    </row>
    <row r="84" spans="1:59" s="3" customFormat="1" ht="81" customHeight="1" x14ac:dyDescent="0.2">
      <c r="A84" s="4233"/>
      <c r="B84" s="4227"/>
      <c r="C84" s="3044"/>
      <c r="D84" s="3045"/>
      <c r="E84" s="4348"/>
      <c r="F84" s="4349"/>
      <c r="G84" s="4334"/>
      <c r="H84" s="2787"/>
      <c r="I84" s="4268"/>
      <c r="J84" s="3964"/>
      <c r="K84" s="2827"/>
      <c r="L84" s="4256"/>
      <c r="M84" s="4259"/>
      <c r="N84" s="4268"/>
      <c r="O84" s="3916"/>
      <c r="P84" s="4272"/>
      <c r="Q84" s="4268"/>
      <c r="R84" s="3055"/>
      <c r="S84" s="2386" t="s">
        <v>1619</v>
      </c>
      <c r="T84" s="1688">
        <v>19783334</v>
      </c>
      <c r="U84" s="1639">
        <v>19783334</v>
      </c>
      <c r="V84" s="1639">
        <v>19783334</v>
      </c>
      <c r="W84" s="4274"/>
      <c r="X84" s="4274"/>
      <c r="Y84" s="4395"/>
      <c r="Z84" s="4398"/>
      <c r="AA84" s="4395"/>
      <c r="AB84" s="4398"/>
      <c r="AC84" s="4400"/>
      <c r="AD84" s="4401"/>
      <c r="AE84" s="4400"/>
      <c r="AF84" s="4401"/>
      <c r="AG84" s="4400"/>
      <c r="AH84" s="4401"/>
      <c r="AI84" s="4400"/>
      <c r="AJ84" s="4401"/>
      <c r="AK84" s="3931"/>
      <c r="AL84" s="3917"/>
      <c r="AM84" s="3931"/>
      <c r="AN84" s="3917"/>
      <c r="AO84" s="3931"/>
      <c r="AP84" s="3917"/>
      <c r="AQ84" s="3931"/>
      <c r="AR84" s="3917"/>
      <c r="AS84" s="3931"/>
      <c r="AT84" s="3917"/>
      <c r="AU84" s="3931"/>
      <c r="AV84" s="3917"/>
      <c r="AW84" s="4403"/>
      <c r="AX84" s="4320"/>
      <c r="AY84" s="4320"/>
      <c r="AZ84" s="3279"/>
      <c r="BA84" s="3916"/>
      <c r="BB84" s="2708"/>
      <c r="BC84" s="4301"/>
      <c r="BD84" s="4302"/>
      <c r="BE84" s="4301"/>
      <c r="BF84" s="4302"/>
      <c r="BG84" s="4304"/>
    </row>
    <row r="85" spans="1:59" s="3" customFormat="1" ht="54.75" customHeight="1" x14ac:dyDescent="0.2">
      <c r="A85" s="4233"/>
      <c r="B85" s="4227"/>
      <c r="C85" s="3044"/>
      <c r="D85" s="3045"/>
      <c r="E85" s="4348"/>
      <c r="F85" s="4349"/>
      <c r="G85" s="4334"/>
      <c r="H85" s="2787"/>
      <c r="I85" s="4268"/>
      <c r="J85" s="3964"/>
      <c r="K85" s="2827"/>
      <c r="L85" s="4256"/>
      <c r="M85" s="4259"/>
      <c r="N85" s="4268"/>
      <c r="O85" s="3916"/>
      <c r="P85" s="4272"/>
      <c r="Q85" s="4268"/>
      <c r="R85" s="3055"/>
      <c r="S85" s="2386" t="s">
        <v>1620</v>
      </c>
      <c r="T85" s="1688">
        <v>4450000</v>
      </c>
      <c r="U85" s="1639">
        <v>4450000</v>
      </c>
      <c r="V85" s="1639">
        <v>4450000</v>
      </c>
      <c r="W85" s="4274"/>
      <c r="X85" s="4274"/>
      <c r="Y85" s="4395"/>
      <c r="Z85" s="4398"/>
      <c r="AA85" s="4395"/>
      <c r="AB85" s="4398"/>
      <c r="AC85" s="4400"/>
      <c r="AD85" s="4401"/>
      <c r="AE85" s="4400"/>
      <c r="AF85" s="4401"/>
      <c r="AG85" s="4400"/>
      <c r="AH85" s="4401"/>
      <c r="AI85" s="4400"/>
      <c r="AJ85" s="4401"/>
      <c r="AK85" s="3931"/>
      <c r="AL85" s="3917"/>
      <c r="AM85" s="3931"/>
      <c r="AN85" s="3917"/>
      <c r="AO85" s="3931"/>
      <c r="AP85" s="3917"/>
      <c r="AQ85" s="3931"/>
      <c r="AR85" s="3917"/>
      <c r="AS85" s="3931"/>
      <c r="AT85" s="3917"/>
      <c r="AU85" s="3931"/>
      <c r="AV85" s="3917"/>
      <c r="AW85" s="4403"/>
      <c r="AX85" s="4320"/>
      <c r="AY85" s="4320"/>
      <c r="AZ85" s="3279"/>
      <c r="BA85" s="3916"/>
      <c r="BB85" s="2708"/>
      <c r="BC85" s="3989"/>
      <c r="BD85" s="4319"/>
      <c r="BE85" s="3989"/>
      <c r="BF85" s="4319"/>
      <c r="BG85" s="4304"/>
    </row>
    <row r="86" spans="1:59" s="3" customFormat="1" ht="59.25" customHeight="1" x14ac:dyDescent="0.2">
      <c r="A86" s="4233"/>
      <c r="B86" s="4227"/>
      <c r="C86" s="3046"/>
      <c r="D86" s="3047"/>
      <c r="E86" s="4384"/>
      <c r="F86" s="4385"/>
      <c r="G86" s="4335"/>
      <c r="H86" s="2788"/>
      <c r="I86" s="4269"/>
      <c r="J86" s="3964"/>
      <c r="K86" s="2862"/>
      <c r="L86" s="4257"/>
      <c r="M86" s="4260"/>
      <c r="N86" s="4269"/>
      <c r="O86" s="4285"/>
      <c r="P86" s="4272"/>
      <c r="Q86" s="4269"/>
      <c r="R86" s="3056"/>
      <c r="S86" s="2386" t="s">
        <v>1621</v>
      </c>
      <c r="T86" s="1688">
        <v>12000000</v>
      </c>
      <c r="U86" s="1639">
        <f>6000000+3157475</f>
        <v>9157475</v>
      </c>
      <c r="V86" s="1639">
        <v>9157475</v>
      </c>
      <c r="W86" s="4275"/>
      <c r="X86" s="4275"/>
      <c r="Y86" s="4396"/>
      <c r="Z86" s="4399"/>
      <c r="AA86" s="4396"/>
      <c r="AB86" s="4399"/>
      <c r="AC86" s="4387"/>
      <c r="AD86" s="4389"/>
      <c r="AE86" s="4387"/>
      <c r="AF86" s="4389"/>
      <c r="AG86" s="4387"/>
      <c r="AH86" s="4389"/>
      <c r="AI86" s="4387"/>
      <c r="AJ86" s="4389"/>
      <c r="AK86" s="4300"/>
      <c r="AL86" s="2928"/>
      <c r="AM86" s="4300"/>
      <c r="AN86" s="2928"/>
      <c r="AO86" s="4300"/>
      <c r="AP86" s="2928"/>
      <c r="AQ86" s="4300"/>
      <c r="AR86" s="2928"/>
      <c r="AS86" s="4300"/>
      <c r="AT86" s="2928"/>
      <c r="AU86" s="4300"/>
      <c r="AV86" s="2928"/>
      <c r="AW86" s="4404"/>
      <c r="AX86" s="4307"/>
      <c r="AY86" s="4307"/>
      <c r="AZ86" s="3280"/>
      <c r="BA86" s="4285"/>
      <c r="BB86" s="2709"/>
      <c r="BC86" s="3989"/>
      <c r="BD86" s="4319"/>
      <c r="BE86" s="3989"/>
      <c r="BF86" s="4319"/>
      <c r="BG86" s="4304"/>
    </row>
    <row r="87" spans="1:59" ht="15" x14ac:dyDescent="0.2">
      <c r="A87" s="4233"/>
      <c r="B87" s="4227"/>
      <c r="C87" s="1675">
        <v>19</v>
      </c>
      <c r="D87" s="69" t="s">
        <v>1622</v>
      </c>
      <c r="E87" s="47"/>
      <c r="F87" s="47"/>
      <c r="G87" s="47"/>
      <c r="H87" s="47"/>
      <c r="I87" s="47"/>
      <c r="J87" s="47"/>
      <c r="K87" s="157"/>
      <c r="L87" s="47"/>
      <c r="M87" s="47"/>
      <c r="N87" s="47"/>
      <c r="O87" s="47"/>
      <c r="P87" s="47"/>
      <c r="Q87" s="47"/>
      <c r="R87" s="47"/>
      <c r="S87" s="47"/>
      <c r="T87" s="47"/>
      <c r="U87" s="1790"/>
      <c r="V87" s="1790"/>
      <c r="W87" s="47"/>
      <c r="X87" s="47"/>
      <c r="Y87" s="47"/>
      <c r="Z87" s="157"/>
      <c r="AA87" s="47"/>
      <c r="AB87" s="157"/>
      <c r="AC87" s="47"/>
      <c r="AD87" s="157"/>
      <c r="AE87" s="47"/>
      <c r="AF87" s="157"/>
      <c r="AG87" s="47"/>
      <c r="AH87" s="157"/>
      <c r="AI87" s="47"/>
      <c r="AJ87" s="157"/>
      <c r="AK87" s="47"/>
      <c r="AL87" s="157"/>
      <c r="AM87" s="47"/>
      <c r="AN87" s="157"/>
      <c r="AO87" s="47"/>
      <c r="AP87" s="157"/>
      <c r="AQ87" s="47"/>
      <c r="AR87" s="157"/>
      <c r="AS87" s="47"/>
      <c r="AT87" s="157"/>
      <c r="AU87" s="47"/>
      <c r="AV87" s="157"/>
      <c r="AW87" s="47"/>
      <c r="AX87" s="47"/>
      <c r="AY87" s="47"/>
      <c r="AZ87" s="47"/>
      <c r="BA87" s="47"/>
      <c r="BB87" s="47"/>
      <c r="BC87" s="47"/>
      <c r="BD87" s="157"/>
      <c r="BE87" s="47"/>
      <c r="BF87" s="157"/>
      <c r="BG87" s="103"/>
    </row>
    <row r="88" spans="1:59" s="3" customFormat="1" ht="15" x14ac:dyDescent="0.2">
      <c r="A88" s="4233"/>
      <c r="B88" s="4227"/>
      <c r="C88" s="3044"/>
      <c r="D88" s="3045"/>
      <c r="E88" s="580">
        <v>67</v>
      </c>
      <c r="F88" s="1987" t="s">
        <v>1623</v>
      </c>
      <c r="G88" s="1988"/>
      <c r="H88" s="1988"/>
      <c r="I88" s="1988"/>
      <c r="J88" s="1988"/>
      <c r="K88" s="411"/>
      <c r="L88" s="1988"/>
      <c r="M88" s="1988"/>
      <c r="N88" s="1988"/>
      <c r="O88" s="1988"/>
      <c r="P88" s="1988"/>
      <c r="Q88" s="1988"/>
      <c r="R88" s="1988"/>
      <c r="S88" s="1988"/>
      <c r="T88" s="1988"/>
      <c r="U88" s="1984"/>
      <c r="V88" s="1984"/>
      <c r="W88" s="1988"/>
      <c r="X88" s="1988"/>
      <c r="Y88" s="1988"/>
      <c r="Z88" s="411"/>
      <c r="AA88" s="1988"/>
      <c r="AB88" s="411"/>
      <c r="AC88" s="1988"/>
      <c r="AD88" s="411"/>
      <c r="AE88" s="1988"/>
      <c r="AF88" s="411"/>
      <c r="AG88" s="1988"/>
      <c r="AH88" s="411"/>
      <c r="AI88" s="1988"/>
      <c r="AJ88" s="411"/>
      <c r="AK88" s="1988"/>
      <c r="AL88" s="411"/>
      <c r="AM88" s="1988"/>
      <c r="AN88" s="411"/>
      <c r="AO88" s="1988"/>
      <c r="AP88" s="411"/>
      <c r="AQ88" s="1988"/>
      <c r="AR88" s="411"/>
      <c r="AS88" s="1988"/>
      <c r="AT88" s="411"/>
      <c r="AU88" s="1988"/>
      <c r="AV88" s="411"/>
      <c r="AW88" s="1988"/>
      <c r="AX88" s="1988"/>
      <c r="AY88" s="1988"/>
      <c r="AZ88" s="1988"/>
      <c r="BA88" s="1988"/>
      <c r="BB88" s="1988"/>
      <c r="BC88" s="1988"/>
      <c r="BD88" s="411"/>
      <c r="BE88" s="1988"/>
      <c r="BF88" s="411"/>
      <c r="BG88" s="1989"/>
    </row>
    <row r="89" spans="1:59" s="3" customFormat="1" ht="81" customHeight="1" x14ac:dyDescent="0.2">
      <c r="A89" s="4233"/>
      <c r="B89" s="4227"/>
      <c r="C89" s="3044"/>
      <c r="D89" s="3045"/>
      <c r="E89" s="3042"/>
      <c r="F89" s="3043"/>
      <c r="G89" s="4335">
        <v>198</v>
      </c>
      <c r="H89" s="4268" t="s">
        <v>1624</v>
      </c>
      <c r="I89" s="3055" t="s">
        <v>1625</v>
      </c>
      <c r="J89" s="4413">
        <v>1</v>
      </c>
      <c r="K89" s="4361">
        <v>0.8</v>
      </c>
      <c r="L89" s="1689" t="s">
        <v>1626</v>
      </c>
      <c r="M89" s="4259">
        <v>129</v>
      </c>
      <c r="N89" s="4268" t="s">
        <v>1627</v>
      </c>
      <c r="O89" s="3915">
        <v>100</v>
      </c>
      <c r="P89" s="4406">
        <v>3287557575</v>
      </c>
      <c r="Q89" s="4268" t="s">
        <v>1628</v>
      </c>
      <c r="R89" s="3055" t="s">
        <v>1629</v>
      </c>
      <c r="S89" s="2200" t="s">
        <v>1630</v>
      </c>
      <c r="T89" s="1679">
        <v>26100000</v>
      </c>
      <c r="U89" s="1679">
        <v>9466667</v>
      </c>
      <c r="V89" s="1679">
        <v>9466667</v>
      </c>
      <c r="W89" s="4225">
        <v>20</v>
      </c>
      <c r="X89" s="4273" t="s">
        <v>130</v>
      </c>
      <c r="Y89" s="3931"/>
      <c r="Z89" s="2927"/>
      <c r="AA89" s="3931"/>
      <c r="AB89" s="2927"/>
      <c r="AC89" s="3931"/>
      <c r="AD89" s="2927"/>
      <c r="AE89" s="3931"/>
      <c r="AF89" s="2927"/>
      <c r="AG89" s="3931"/>
      <c r="AH89" s="2927"/>
      <c r="AI89" s="3916">
        <v>81384</v>
      </c>
      <c r="AJ89" s="2835">
        <v>163</v>
      </c>
      <c r="AK89" s="3931"/>
      <c r="AL89" s="2927"/>
      <c r="AM89" s="3931"/>
      <c r="AN89" s="2927"/>
      <c r="AO89" s="3931"/>
      <c r="AP89" s="2927"/>
      <c r="AQ89" s="3931"/>
      <c r="AR89" s="2927"/>
      <c r="AS89" s="3931"/>
      <c r="AT89" s="2927"/>
      <c r="AU89" s="3931"/>
      <c r="AV89" s="2927"/>
      <c r="AW89" s="3915">
        <v>5</v>
      </c>
      <c r="AX89" s="4282">
        <v>2648492174</v>
      </c>
      <c r="AY89" s="4282">
        <v>2648492174</v>
      </c>
      <c r="AZ89" s="4432">
        <f>+AY89/AX89</f>
        <v>1</v>
      </c>
      <c r="BA89" s="3915">
        <v>20</v>
      </c>
      <c r="BB89" s="2707" t="s">
        <v>1631</v>
      </c>
      <c r="BC89" s="4277">
        <v>42447</v>
      </c>
      <c r="BD89" s="4279">
        <v>42447</v>
      </c>
      <c r="BE89" s="4277">
        <v>42726</v>
      </c>
      <c r="BF89" s="4279">
        <v>42726</v>
      </c>
      <c r="BG89" s="4305" t="s">
        <v>1450</v>
      </c>
    </row>
    <row r="90" spans="1:59" s="3" customFormat="1" ht="81" customHeight="1" x14ac:dyDescent="0.2">
      <c r="A90" s="4233"/>
      <c r="B90" s="4227"/>
      <c r="C90" s="3044"/>
      <c r="D90" s="3045"/>
      <c r="E90" s="3044"/>
      <c r="F90" s="3045"/>
      <c r="G90" s="4332"/>
      <c r="H90" s="4268"/>
      <c r="I90" s="3055"/>
      <c r="J90" s="4414"/>
      <c r="K90" s="4362"/>
      <c r="L90" s="4427" t="s">
        <v>1632</v>
      </c>
      <c r="M90" s="4259"/>
      <c r="N90" s="4268"/>
      <c r="O90" s="3916"/>
      <c r="P90" s="4407"/>
      <c r="Q90" s="4268"/>
      <c r="R90" s="3055"/>
      <c r="S90" s="2386" t="s">
        <v>1633</v>
      </c>
      <c r="T90" s="1680">
        <v>13900000</v>
      </c>
      <c r="U90" s="1680">
        <v>7500000</v>
      </c>
      <c r="V90" s="1680">
        <v>7500000</v>
      </c>
      <c r="W90" s="4225"/>
      <c r="X90" s="4274"/>
      <c r="Y90" s="3931"/>
      <c r="Z90" s="3917"/>
      <c r="AA90" s="3931"/>
      <c r="AB90" s="3917"/>
      <c r="AC90" s="3931"/>
      <c r="AD90" s="3917"/>
      <c r="AE90" s="3931"/>
      <c r="AF90" s="3917"/>
      <c r="AG90" s="3931"/>
      <c r="AH90" s="3917"/>
      <c r="AI90" s="3916"/>
      <c r="AJ90" s="2836"/>
      <c r="AK90" s="3931"/>
      <c r="AL90" s="3917"/>
      <c r="AM90" s="3931"/>
      <c r="AN90" s="3917"/>
      <c r="AO90" s="3931"/>
      <c r="AP90" s="3917"/>
      <c r="AQ90" s="3931"/>
      <c r="AR90" s="3917"/>
      <c r="AS90" s="3931"/>
      <c r="AT90" s="3917"/>
      <c r="AU90" s="3931"/>
      <c r="AV90" s="3917"/>
      <c r="AW90" s="3916"/>
      <c r="AX90" s="4283"/>
      <c r="AY90" s="4283"/>
      <c r="AZ90" s="4433"/>
      <c r="BA90" s="3916"/>
      <c r="BB90" s="3916"/>
      <c r="BC90" s="4277"/>
      <c r="BD90" s="4279"/>
      <c r="BE90" s="4277"/>
      <c r="BF90" s="4279"/>
      <c r="BG90" s="4280"/>
    </row>
    <row r="91" spans="1:59" s="3" customFormat="1" ht="77.25" customHeight="1" x14ac:dyDescent="0.2">
      <c r="A91" s="4233"/>
      <c r="B91" s="4227"/>
      <c r="C91" s="3044"/>
      <c r="D91" s="3045"/>
      <c r="E91" s="3044"/>
      <c r="F91" s="3045"/>
      <c r="G91" s="4332"/>
      <c r="H91" s="4268"/>
      <c r="I91" s="3055"/>
      <c r="J91" s="4414"/>
      <c r="K91" s="4362"/>
      <c r="L91" s="4428"/>
      <c r="M91" s="4259"/>
      <c r="N91" s="4268"/>
      <c r="O91" s="3916"/>
      <c r="P91" s="4407"/>
      <c r="Q91" s="4268"/>
      <c r="R91" s="3055"/>
      <c r="S91" s="2386" t="s">
        <v>1634</v>
      </c>
      <c r="T91" s="1680">
        <v>0</v>
      </c>
      <c r="U91" s="1680">
        <v>0</v>
      </c>
      <c r="V91" s="1680">
        <v>0</v>
      </c>
      <c r="W91" s="4225"/>
      <c r="X91" s="4274"/>
      <c r="Y91" s="3931"/>
      <c r="Z91" s="3917"/>
      <c r="AA91" s="3931"/>
      <c r="AB91" s="3917"/>
      <c r="AC91" s="3931"/>
      <c r="AD91" s="3917"/>
      <c r="AE91" s="3931"/>
      <c r="AF91" s="3917"/>
      <c r="AG91" s="3931"/>
      <c r="AH91" s="3917"/>
      <c r="AI91" s="3916"/>
      <c r="AJ91" s="2836"/>
      <c r="AK91" s="3931"/>
      <c r="AL91" s="3917"/>
      <c r="AM91" s="3931"/>
      <c r="AN91" s="3917"/>
      <c r="AO91" s="3931"/>
      <c r="AP91" s="3917"/>
      <c r="AQ91" s="3931"/>
      <c r="AR91" s="3917"/>
      <c r="AS91" s="3931"/>
      <c r="AT91" s="3917"/>
      <c r="AU91" s="3931"/>
      <c r="AV91" s="3917"/>
      <c r="AW91" s="3916"/>
      <c r="AX91" s="4283"/>
      <c r="AY91" s="4283"/>
      <c r="AZ91" s="4433"/>
      <c r="BA91" s="3916"/>
      <c r="BB91" s="3916"/>
      <c r="BC91" s="4277"/>
      <c r="BD91" s="4279"/>
      <c r="BE91" s="4277"/>
      <c r="BF91" s="4279"/>
      <c r="BG91" s="4280"/>
    </row>
    <row r="92" spans="1:59" s="3" customFormat="1" ht="77.25" customHeight="1" x14ac:dyDescent="0.2">
      <c r="A92" s="4233"/>
      <c r="B92" s="4227"/>
      <c r="C92" s="3044"/>
      <c r="D92" s="3045"/>
      <c r="E92" s="3044"/>
      <c r="F92" s="3045"/>
      <c r="G92" s="4332"/>
      <c r="H92" s="4268"/>
      <c r="I92" s="3055"/>
      <c r="J92" s="4414"/>
      <c r="K92" s="4371"/>
      <c r="L92" s="4428"/>
      <c r="M92" s="4259"/>
      <c r="N92" s="4268"/>
      <c r="O92" s="3916"/>
      <c r="P92" s="4407"/>
      <c r="Q92" s="4268"/>
      <c r="R92" s="3055"/>
      <c r="S92" s="2386" t="s">
        <v>1635</v>
      </c>
      <c r="T92" s="1680">
        <v>0</v>
      </c>
      <c r="U92" s="1680">
        <v>0</v>
      </c>
      <c r="V92" s="1680">
        <v>0</v>
      </c>
      <c r="W92" s="4225"/>
      <c r="X92" s="4275"/>
      <c r="Y92" s="3931"/>
      <c r="Z92" s="3917"/>
      <c r="AA92" s="3931"/>
      <c r="AB92" s="3917"/>
      <c r="AC92" s="3931"/>
      <c r="AD92" s="3917"/>
      <c r="AE92" s="3931"/>
      <c r="AF92" s="3917"/>
      <c r="AG92" s="3931"/>
      <c r="AH92" s="3917"/>
      <c r="AI92" s="3916"/>
      <c r="AJ92" s="2836"/>
      <c r="AK92" s="3931"/>
      <c r="AL92" s="3917"/>
      <c r="AM92" s="3931"/>
      <c r="AN92" s="3917"/>
      <c r="AO92" s="3931"/>
      <c r="AP92" s="3917"/>
      <c r="AQ92" s="3931"/>
      <c r="AR92" s="3917"/>
      <c r="AS92" s="3931"/>
      <c r="AT92" s="3917"/>
      <c r="AU92" s="3931"/>
      <c r="AV92" s="3917"/>
      <c r="AW92" s="3916"/>
      <c r="AX92" s="4283"/>
      <c r="AY92" s="4283"/>
      <c r="AZ92" s="4433"/>
      <c r="BA92" s="3916"/>
      <c r="BB92" s="3916"/>
      <c r="BC92" s="4277"/>
      <c r="BD92" s="4279"/>
      <c r="BE92" s="4277"/>
      <c r="BF92" s="4279"/>
      <c r="BG92" s="4280"/>
    </row>
    <row r="93" spans="1:59" s="3" customFormat="1" ht="69" customHeight="1" x14ac:dyDescent="0.2">
      <c r="A93" s="4233"/>
      <c r="B93" s="4227"/>
      <c r="C93" s="3044"/>
      <c r="D93" s="3045"/>
      <c r="E93" s="3044"/>
      <c r="F93" s="3045"/>
      <c r="G93" s="2461">
        <v>200</v>
      </c>
      <c r="H93" s="2480" t="s">
        <v>1636</v>
      </c>
      <c r="I93" s="2386" t="s">
        <v>1637</v>
      </c>
      <c r="J93" s="2107">
        <v>12</v>
      </c>
      <c r="K93" s="2485">
        <v>20</v>
      </c>
      <c r="L93" s="4429" t="s">
        <v>1638</v>
      </c>
      <c r="M93" s="4259"/>
      <c r="N93" s="4268"/>
      <c r="O93" s="3916"/>
      <c r="P93" s="4407"/>
      <c r="Q93" s="4268"/>
      <c r="R93" s="3055"/>
      <c r="S93" s="3055" t="s">
        <v>1639</v>
      </c>
      <c r="T93" s="1690">
        <v>974267272.89999998</v>
      </c>
      <c r="U93" s="1639">
        <v>789457652</v>
      </c>
      <c r="V93" s="1639">
        <v>789457652.10000002</v>
      </c>
      <c r="W93" s="2459">
        <v>84</v>
      </c>
      <c r="X93" s="2459" t="s">
        <v>1640</v>
      </c>
      <c r="Y93" s="3931"/>
      <c r="Z93" s="3917"/>
      <c r="AA93" s="3931"/>
      <c r="AB93" s="3917"/>
      <c r="AC93" s="3931"/>
      <c r="AD93" s="3917"/>
      <c r="AE93" s="3931"/>
      <c r="AF93" s="3917"/>
      <c r="AG93" s="3931"/>
      <c r="AH93" s="3917"/>
      <c r="AI93" s="3916"/>
      <c r="AJ93" s="2836"/>
      <c r="AK93" s="3931"/>
      <c r="AL93" s="3917"/>
      <c r="AM93" s="3931"/>
      <c r="AN93" s="3917"/>
      <c r="AO93" s="3931"/>
      <c r="AP93" s="3917"/>
      <c r="AQ93" s="3931"/>
      <c r="AR93" s="3917"/>
      <c r="AS93" s="3931"/>
      <c r="AT93" s="3917"/>
      <c r="AU93" s="3931"/>
      <c r="AV93" s="3917"/>
      <c r="AW93" s="3916"/>
      <c r="AX93" s="4283"/>
      <c r="AY93" s="4283"/>
      <c r="AZ93" s="4433"/>
      <c r="BA93" s="3916"/>
      <c r="BB93" s="3916"/>
      <c r="BC93" s="4277"/>
      <c r="BD93" s="4279"/>
      <c r="BE93" s="4277"/>
      <c r="BF93" s="4279"/>
      <c r="BG93" s="4280"/>
    </row>
    <row r="94" spans="1:59" s="3" customFormat="1" ht="68.25" customHeight="1" thickBot="1" x14ac:dyDescent="0.25">
      <c r="A94" s="4234"/>
      <c r="B94" s="4235"/>
      <c r="C94" s="4411"/>
      <c r="D94" s="4412"/>
      <c r="E94" s="4411"/>
      <c r="F94" s="4412"/>
      <c r="G94" s="1691">
        <v>201</v>
      </c>
      <c r="H94" s="1692" t="s">
        <v>1641</v>
      </c>
      <c r="I94" s="1692" t="s">
        <v>1642</v>
      </c>
      <c r="J94" s="1693">
        <v>14</v>
      </c>
      <c r="K94" s="1694">
        <v>18</v>
      </c>
      <c r="L94" s="4430"/>
      <c r="M94" s="4415"/>
      <c r="N94" s="4409"/>
      <c r="O94" s="4405"/>
      <c r="P94" s="4408"/>
      <c r="Q94" s="4409"/>
      <c r="R94" s="4410"/>
      <c r="S94" s="3056"/>
      <c r="T94" s="1690">
        <v>2273290302.0999999</v>
      </c>
      <c r="U94" s="1791">
        <v>1842067855.0999999</v>
      </c>
      <c r="V94" s="1791">
        <v>1842067855.0999999</v>
      </c>
      <c r="W94" s="1695"/>
      <c r="X94" s="1696" t="s">
        <v>1643</v>
      </c>
      <c r="Y94" s="4416"/>
      <c r="Z94" s="4417"/>
      <c r="AA94" s="4416"/>
      <c r="AB94" s="4417"/>
      <c r="AC94" s="4416"/>
      <c r="AD94" s="4417"/>
      <c r="AE94" s="4416"/>
      <c r="AF94" s="4417"/>
      <c r="AG94" s="4416"/>
      <c r="AH94" s="4417"/>
      <c r="AI94" s="4405"/>
      <c r="AJ94" s="4418"/>
      <c r="AK94" s="4416"/>
      <c r="AL94" s="4417"/>
      <c r="AM94" s="4416"/>
      <c r="AN94" s="4417"/>
      <c r="AO94" s="4416"/>
      <c r="AP94" s="4417"/>
      <c r="AQ94" s="4416"/>
      <c r="AR94" s="4417"/>
      <c r="AS94" s="4416"/>
      <c r="AT94" s="4417"/>
      <c r="AU94" s="4416"/>
      <c r="AV94" s="4417"/>
      <c r="AW94" s="4405"/>
      <c r="AX94" s="4431"/>
      <c r="AY94" s="4431"/>
      <c r="AZ94" s="4434"/>
      <c r="BA94" s="4405"/>
      <c r="BB94" s="4405"/>
      <c r="BC94" s="4424"/>
      <c r="BD94" s="4425"/>
      <c r="BE94" s="4424"/>
      <c r="BF94" s="4425"/>
      <c r="BG94" s="4426"/>
    </row>
    <row r="95" spans="1:59" ht="15.75" thickBot="1" x14ac:dyDescent="0.25">
      <c r="A95" s="4234" t="s">
        <v>291</v>
      </c>
      <c r="B95" s="4419"/>
      <c r="C95" s="4419"/>
      <c r="D95" s="4419"/>
      <c r="E95" s="4419"/>
      <c r="F95" s="4419"/>
      <c r="G95" s="4419"/>
      <c r="H95" s="4419"/>
      <c r="I95" s="4419"/>
      <c r="J95" s="4419"/>
      <c r="K95" s="4419"/>
      <c r="L95" s="4419"/>
      <c r="M95" s="4419"/>
      <c r="N95" s="4419"/>
      <c r="O95" s="4420"/>
      <c r="P95" s="1697">
        <f>SUM(P13:P94)</f>
        <v>4497557575</v>
      </c>
      <c r="Q95" s="1698"/>
      <c r="R95" s="1699"/>
      <c r="S95" s="1700"/>
      <c r="T95" s="1701">
        <f>SUM(T13:T94)</f>
        <v>4497557575</v>
      </c>
      <c r="U95" s="1701">
        <f>SUM(U13:U94)</f>
        <v>3560404754.0999999</v>
      </c>
      <c r="V95" s="1701">
        <f>SUM(V13:V94)</f>
        <v>3536404754.1999998</v>
      </c>
      <c r="W95" s="1702"/>
      <c r="X95" s="1699"/>
      <c r="Y95" s="1699"/>
      <c r="Z95" s="1703"/>
      <c r="AA95" s="1699"/>
      <c r="AB95" s="1703"/>
      <c r="AC95" s="1699"/>
      <c r="AD95" s="1703"/>
      <c r="AE95" s="1699"/>
      <c r="AF95" s="1703"/>
      <c r="AG95" s="1699"/>
      <c r="AH95" s="1703"/>
      <c r="AI95" s="1699"/>
      <c r="AJ95" s="1703"/>
      <c r="AK95" s="1699"/>
      <c r="AL95" s="1703"/>
      <c r="AM95" s="1699"/>
      <c r="AN95" s="1703"/>
      <c r="AO95" s="1699"/>
      <c r="AP95" s="1703"/>
      <c r="AQ95" s="1699"/>
      <c r="AR95" s="1703"/>
      <c r="AS95" s="1699"/>
      <c r="AT95" s="1703"/>
      <c r="AU95" s="1699"/>
      <c r="AV95" s="1703"/>
      <c r="AW95" s="1699"/>
      <c r="AX95" s="1701">
        <f>SUM(AX13:AX94)</f>
        <v>3560404754</v>
      </c>
      <c r="AY95" s="1701">
        <f>SUM(AY13:AY94)</f>
        <v>3536404754</v>
      </c>
      <c r="AZ95" s="1704">
        <f>AY95/AX95</f>
        <v>0.99325919336192414</v>
      </c>
      <c r="BA95" s="1699"/>
      <c r="BB95" s="1699"/>
      <c r="BC95" s="1699"/>
      <c r="BD95" s="1703"/>
      <c r="BE95" s="1699"/>
      <c r="BF95" s="1703"/>
      <c r="BG95" s="1700"/>
    </row>
    <row r="96" spans="1:59" ht="15" x14ac:dyDescent="0.25">
      <c r="A96" s="24"/>
      <c r="B96" s="24"/>
      <c r="C96" s="24"/>
      <c r="D96" s="24"/>
      <c r="E96" s="1705"/>
      <c r="F96" s="1706"/>
      <c r="G96" s="1707"/>
      <c r="H96" s="1707"/>
      <c r="I96" s="689"/>
      <c r="J96" s="1708"/>
      <c r="K96" s="1709"/>
      <c r="L96" s="1708"/>
      <c r="M96" s="1708"/>
      <c r="N96" s="689"/>
      <c r="O96" s="1710"/>
      <c r="P96" s="1711"/>
      <c r="Q96" s="1707"/>
      <c r="R96" s="1792"/>
      <c r="S96" s="1793"/>
      <c r="T96" s="1712"/>
      <c r="U96" s="1713"/>
      <c r="V96" s="1713"/>
      <c r="W96" s="24"/>
      <c r="X96" s="24"/>
      <c r="Y96" s="24"/>
      <c r="Z96" s="1714"/>
      <c r="AA96" s="24"/>
      <c r="AB96" s="1714"/>
      <c r="AC96" s="24"/>
      <c r="AD96" s="1714"/>
      <c r="AE96" s="24"/>
      <c r="AF96" s="1714"/>
      <c r="AG96" s="24"/>
      <c r="AH96" s="1714"/>
      <c r="AI96" s="24"/>
      <c r="AJ96" s="1714"/>
      <c r="AK96" s="24"/>
      <c r="AL96" s="1714"/>
      <c r="AM96" s="24"/>
      <c r="AN96" s="1714"/>
      <c r="AO96" s="24"/>
      <c r="AP96" s="1714"/>
      <c r="AQ96" s="24"/>
      <c r="AR96" s="1714"/>
      <c r="AS96" s="24"/>
      <c r="AT96" s="1714"/>
      <c r="BG96" s="1715"/>
    </row>
    <row r="97" spans="1:59" ht="15" x14ac:dyDescent="0.25">
      <c r="A97" s="24"/>
      <c r="B97" s="24"/>
      <c r="C97" s="24"/>
      <c r="D97" s="24"/>
      <c r="E97" s="1705"/>
      <c r="F97" s="1706"/>
      <c r="G97" s="1707"/>
      <c r="H97" s="1707"/>
      <c r="I97" s="689"/>
      <c r="J97" s="1708"/>
      <c r="K97" s="1709"/>
      <c r="L97" s="1708"/>
      <c r="M97" s="1708"/>
      <c r="N97" s="689"/>
      <c r="O97" s="1710"/>
      <c r="P97" s="1711"/>
      <c r="Q97" s="1707"/>
      <c r="R97" s="1792"/>
      <c r="S97" s="1794"/>
      <c r="T97" s="1716"/>
      <c r="U97" s="1717"/>
      <c r="V97" s="1713"/>
      <c r="W97" s="24"/>
      <c r="X97" s="24"/>
      <c r="Y97" s="24"/>
      <c r="Z97" s="1714"/>
      <c r="AA97" s="24"/>
      <c r="AB97" s="1714"/>
      <c r="AC97" s="24"/>
      <c r="AD97" s="1714"/>
      <c r="AE97" s="24"/>
      <c r="AF97" s="1714"/>
      <c r="AG97" s="24"/>
      <c r="AH97" s="1714"/>
      <c r="AI97" s="24"/>
      <c r="AJ97" s="1714"/>
      <c r="AK97" s="24"/>
      <c r="AL97" s="1714"/>
      <c r="AM97" s="24"/>
      <c r="AN97" s="1714"/>
      <c r="AO97" s="24"/>
      <c r="AP97" s="1714"/>
      <c r="AQ97" s="24"/>
      <c r="AR97" s="1714"/>
      <c r="AS97" s="24"/>
      <c r="AT97" s="1714"/>
      <c r="BG97" s="1715"/>
    </row>
    <row r="98" spans="1:59" ht="24.75" customHeight="1" x14ac:dyDescent="0.2">
      <c r="A98" s="24"/>
      <c r="B98" s="24"/>
      <c r="C98" s="24"/>
      <c r="D98" s="24"/>
      <c r="E98" s="1705"/>
      <c r="F98" s="1706"/>
      <c r="G98" s="1708"/>
      <c r="H98" s="1708"/>
      <c r="I98" s="1708"/>
      <c r="J98" s="1708"/>
      <c r="K98" s="1709"/>
      <c r="L98" s="1708"/>
      <c r="M98" s="1708"/>
      <c r="N98" s="689"/>
      <c r="O98" s="1710"/>
      <c r="P98" s="1957"/>
      <c r="Q98" s="1707"/>
      <c r="R98" s="1792"/>
      <c r="S98" s="1793"/>
      <c r="T98" s="1795"/>
      <c r="U98" s="1796"/>
      <c r="V98" s="1796"/>
      <c r="W98" s="24"/>
      <c r="X98" s="24"/>
      <c r="Y98" s="24"/>
      <c r="Z98" s="1714"/>
      <c r="AA98" s="24"/>
      <c r="AB98" s="1714"/>
      <c r="AC98" s="24"/>
      <c r="AD98" s="1714"/>
      <c r="AE98" s="24"/>
      <c r="AF98" s="1714"/>
      <c r="AG98" s="24"/>
      <c r="AH98" s="1714"/>
      <c r="AI98" s="24"/>
      <c r="AJ98" s="1714"/>
      <c r="AK98" s="24"/>
      <c r="AL98" s="1714"/>
      <c r="AM98" s="24"/>
      <c r="AN98" s="1714"/>
      <c r="AO98" s="24"/>
      <c r="AP98" s="1714"/>
      <c r="AQ98" s="24"/>
      <c r="AR98" s="1714"/>
      <c r="AS98" s="24"/>
      <c r="AT98" s="1714"/>
      <c r="AX98" s="1718"/>
      <c r="AY98" s="1718"/>
      <c r="BG98" s="1715"/>
    </row>
    <row r="99" spans="1:59" x14ac:dyDescent="0.2">
      <c r="E99" s="1705"/>
      <c r="F99" s="1719"/>
      <c r="G99" s="1705"/>
      <c r="H99" s="1705"/>
      <c r="I99" s="1705"/>
      <c r="J99" s="1705"/>
      <c r="K99" s="1720"/>
      <c r="L99" s="1708"/>
      <c r="M99" s="1708"/>
      <c r="N99" s="1710"/>
      <c r="O99" s="1710"/>
      <c r="P99" s="1721"/>
      <c r="Q99" s="1707"/>
      <c r="R99" s="1792"/>
      <c r="S99" s="1794"/>
      <c r="T99" s="1716"/>
      <c r="U99" s="1717"/>
      <c r="V99" s="1717"/>
      <c r="W99" s="24"/>
      <c r="X99" s="24"/>
      <c r="Y99" s="24"/>
      <c r="Z99" s="1714"/>
      <c r="AA99" s="24"/>
      <c r="AB99" s="1714"/>
      <c r="AC99" s="24"/>
      <c r="AD99" s="1714"/>
      <c r="AE99" s="24"/>
      <c r="AF99" s="1714"/>
      <c r="AG99" s="24"/>
      <c r="AH99" s="1714"/>
      <c r="AI99" s="24"/>
      <c r="AJ99" s="1714"/>
      <c r="AK99" s="24"/>
      <c r="AL99" s="1714"/>
      <c r="AM99" s="24"/>
      <c r="AN99" s="1714"/>
      <c r="AO99" s="24"/>
      <c r="AP99" s="1714"/>
      <c r="AQ99" s="24"/>
      <c r="AR99" s="1714"/>
      <c r="AS99" s="24"/>
      <c r="AT99" s="1714"/>
      <c r="AW99" s="625"/>
      <c r="AX99" s="1722"/>
      <c r="AY99" s="1722"/>
      <c r="BG99" s="1715"/>
    </row>
    <row r="100" spans="1:59" x14ac:dyDescent="0.2">
      <c r="A100" s="24"/>
      <c r="B100" s="24"/>
      <c r="C100" s="24"/>
      <c r="D100" s="24"/>
      <c r="E100" s="1705"/>
      <c r="F100" s="1719"/>
      <c r="G100" s="1705"/>
      <c r="H100" s="1705"/>
      <c r="I100" s="1705"/>
      <c r="J100" s="1705"/>
      <c r="K100" s="1720"/>
      <c r="L100" s="1708"/>
      <c r="M100" s="1708"/>
      <c r="N100" s="1710"/>
      <c r="O100" s="1710"/>
      <c r="P100" s="1723"/>
      <c r="Q100" s="1710"/>
      <c r="R100" s="1710"/>
      <c r="S100" s="1710"/>
      <c r="T100" s="1724"/>
      <c r="U100" s="1725"/>
      <c r="V100" s="1725"/>
      <c r="W100" s="24"/>
      <c r="X100" s="24"/>
      <c r="Y100" s="24"/>
      <c r="Z100" s="1714"/>
      <c r="AA100" s="24"/>
      <c r="AB100" s="1714"/>
      <c r="AC100" s="24"/>
      <c r="AD100" s="1714"/>
      <c r="AE100" s="24"/>
      <c r="AF100" s="1714"/>
      <c r="AG100" s="24"/>
      <c r="AH100" s="1714"/>
      <c r="AI100" s="24"/>
      <c r="AJ100" s="1714"/>
      <c r="AK100" s="24"/>
      <c r="AL100" s="1714"/>
      <c r="AM100" s="24"/>
      <c r="AN100" s="1714"/>
      <c r="AO100" s="24"/>
      <c r="AP100" s="1714"/>
      <c r="AQ100" s="24"/>
      <c r="AR100" s="1714"/>
      <c r="AS100" s="24"/>
      <c r="AT100" s="1714"/>
      <c r="BG100" s="1715"/>
    </row>
    <row r="101" spans="1:59" x14ac:dyDescent="0.2">
      <c r="A101" s="24"/>
      <c r="B101" s="24"/>
      <c r="C101" s="24"/>
      <c r="D101" s="24"/>
      <c r="E101" s="1705"/>
      <c r="F101" s="1719"/>
      <c r="G101" s="1705"/>
      <c r="H101" s="1705"/>
      <c r="I101" s="1705"/>
      <c r="J101" s="1705"/>
      <c r="K101" s="1720"/>
      <c r="L101" s="1708"/>
      <c r="M101" s="1708"/>
      <c r="N101" s="1710"/>
      <c r="O101" s="1710"/>
      <c r="P101" s="1723"/>
      <c r="Q101" s="1710"/>
      <c r="R101" s="24"/>
      <c r="S101" s="24"/>
      <c r="T101" s="1724"/>
      <c r="U101" s="1725"/>
      <c r="V101" s="1725"/>
      <c r="W101" s="24"/>
      <c r="X101" s="24"/>
      <c r="Y101" s="24"/>
      <c r="Z101" s="1714"/>
      <c r="AA101" s="24"/>
      <c r="AB101" s="1714"/>
      <c r="AC101" s="24"/>
      <c r="AD101" s="1714"/>
      <c r="AE101" s="24"/>
      <c r="AF101" s="1714"/>
      <c r="AG101" s="24"/>
      <c r="AH101" s="1714"/>
      <c r="AI101" s="24"/>
      <c r="AJ101" s="1714"/>
      <c r="AK101" s="24"/>
      <c r="AL101" s="1714"/>
      <c r="AM101" s="24"/>
      <c r="AN101" s="1714"/>
      <c r="AO101" s="24"/>
      <c r="AP101" s="1714"/>
      <c r="AQ101" s="24"/>
      <c r="AR101" s="1714"/>
      <c r="AS101" s="24"/>
      <c r="AT101" s="1714"/>
    </row>
    <row r="102" spans="1:59" ht="15" x14ac:dyDescent="0.25">
      <c r="A102" s="24"/>
      <c r="B102" s="24"/>
      <c r="C102" s="24"/>
      <c r="D102" s="24"/>
      <c r="E102" s="1705"/>
      <c r="F102" s="1719"/>
      <c r="G102" s="1705"/>
      <c r="H102" s="4421" t="s">
        <v>1595</v>
      </c>
      <c r="I102" s="4421"/>
      <c r="J102" s="4421"/>
      <c r="K102" s="4421"/>
      <c r="L102" s="4421"/>
      <c r="M102" s="1708"/>
      <c r="N102" s="1710"/>
      <c r="O102" s="1710"/>
      <c r="P102" s="1723"/>
      <c r="Q102" s="1710"/>
      <c r="R102" s="24"/>
      <c r="S102" s="24"/>
      <c r="T102" s="1724"/>
      <c r="U102" s="1725"/>
      <c r="V102" s="1725"/>
      <c r="W102" s="24"/>
      <c r="X102" s="24"/>
      <c r="Y102" s="24"/>
      <c r="Z102" s="1714"/>
      <c r="AA102" s="24"/>
      <c r="AB102" s="1714"/>
      <c r="AC102" s="24"/>
      <c r="AD102" s="1714"/>
      <c r="AE102" s="24"/>
      <c r="AF102" s="1714"/>
      <c r="AG102" s="24"/>
      <c r="AH102" s="1714"/>
      <c r="AI102" s="24"/>
      <c r="AJ102" s="1714"/>
      <c r="AK102" s="24"/>
      <c r="AL102" s="1714"/>
      <c r="AM102" s="24"/>
      <c r="AN102" s="1714"/>
      <c r="AO102" s="24"/>
      <c r="AP102" s="1714"/>
      <c r="AQ102" s="24"/>
      <c r="AR102" s="1714"/>
      <c r="AS102" s="24"/>
      <c r="AT102" s="1714"/>
    </row>
    <row r="103" spans="1:59" ht="15" x14ac:dyDescent="0.2">
      <c r="A103" s="24"/>
      <c r="B103" s="24"/>
      <c r="C103" s="24"/>
      <c r="D103" s="24"/>
      <c r="E103" s="1705"/>
      <c r="F103" s="1719"/>
      <c r="G103" s="1705"/>
      <c r="H103" s="4422" t="s">
        <v>1644</v>
      </c>
      <c r="I103" s="4422"/>
      <c r="J103" s="4422"/>
      <c r="K103" s="4422"/>
      <c r="L103" s="4422"/>
      <c r="M103" s="1708"/>
      <c r="N103" s="1710"/>
      <c r="O103" s="1710"/>
      <c r="P103" s="1723"/>
      <c r="Q103" s="1710"/>
      <c r="R103" s="24"/>
      <c r="S103" s="24"/>
      <c r="T103" s="1724"/>
      <c r="U103" s="1725"/>
      <c r="V103" s="1725"/>
      <c r="W103" s="24"/>
      <c r="X103" s="24"/>
      <c r="Y103" s="24"/>
      <c r="Z103" s="1714"/>
      <c r="AA103" s="24"/>
      <c r="AB103" s="1714"/>
      <c r="AC103" s="24"/>
      <c r="AD103" s="1714"/>
      <c r="AE103" s="24"/>
      <c r="AF103" s="1714"/>
      <c r="AG103" s="24"/>
      <c r="AH103" s="1714"/>
      <c r="AI103" s="24"/>
      <c r="AJ103" s="1714"/>
      <c r="AK103" s="24"/>
      <c r="AL103" s="1714"/>
      <c r="AM103" s="24"/>
      <c r="AN103" s="1714"/>
      <c r="AO103" s="24"/>
      <c r="AP103" s="1714"/>
      <c r="AQ103" s="24"/>
      <c r="AR103" s="1714"/>
      <c r="AS103" s="24"/>
      <c r="AT103" s="1714"/>
    </row>
    <row r="104" spans="1:59" x14ac:dyDescent="0.2">
      <c r="A104" s="24"/>
      <c r="B104" s="24"/>
      <c r="C104" s="24"/>
      <c r="D104" s="24"/>
      <c r="E104" s="1705"/>
      <c r="F104" s="1719"/>
      <c r="G104" s="1705"/>
      <c r="H104" s="1705"/>
      <c r="I104" s="1705"/>
      <c r="J104" s="1705"/>
      <c r="K104" s="1720"/>
      <c r="L104" s="1708"/>
      <c r="M104" s="1708"/>
      <c r="N104" s="1710"/>
      <c r="O104" s="1710"/>
      <c r="P104" s="1723"/>
      <c r="Q104" s="1710"/>
      <c r="R104" s="24"/>
      <c r="S104" s="24"/>
      <c r="T104" s="1724"/>
      <c r="U104" s="1725"/>
      <c r="V104" s="1725"/>
      <c r="W104" s="24"/>
      <c r="X104" s="24"/>
      <c r="Y104" s="24"/>
      <c r="Z104" s="1714"/>
      <c r="AA104" s="24"/>
      <c r="AB104" s="1714"/>
      <c r="AC104" s="24"/>
      <c r="AD104" s="1714"/>
      <c r="AE104" s="24"/>
      <c r="AF104" s="1714"/>
      <c r="AG104" s="24"/>
      <c r="AH104" s="1714"/>
      <c r="AI104" s="24"/>
      <c r="AJ104" s="1714"/>
      <c r="AK104" s="24"/>
      <c r="AL104" s="1714"/>
      <c r="AM104" s="24"/>
      <c r="AN104" s="1714"/>
      <c r="AO104" s="24"/>
      <c r="AP104" s="1714"/>
      <c r="AQ104" s="24"/>
      <c r="AR104" s="1714"/>
      <c r="AS104" s="24"/>
      <c r="AT104" s="1714"/>
    </row>
    <row r="105" spans="1:59" x14ac:dyDescent="0.2">
      <c r="A105" s="4423" t="s">
        <v>1645</v>
      </c>
      <c r="B105" s="4423"/>
      <c r="C105" s="4423"/>
      <c r="D105" s="4423"/>
      <c r="E105" s="1705"/>
      <c r="F105" s="1719"/>
      <c r="G105" s="1705"/>
      <c r="H105" s="1705"/>
      <c r="I105" s="1705"/>
      <c r="J105" s="1705"/>
      <c r="K105" s="1720"/>
      <c r="L105" s="1708"/>
      <c r="M105" s="1708"/>
      <c r="N105" s="1710"/>
      <c r="O105" s="1710"/>
      <c r="P105" s="1723"/>
      <c r="Q105" s="1710"/>
      <c r="R105" s="24"/>
      <c r="S105" s="24"/>
      <c r="T105" s="1724"/>
      <c r="U105" s="1725"/>
      <c r="V105" s="1725"/>
      <c r="W105" s="24"/>
      <c r="X105" s="24"/>
      <c r="Y105" s="24"/>
      <c r="Z105" s="1714"/>
      <c r="AA105" s="24"/>
      <c r="AB105" s="1714"/>
      <c r="AC105" s="24"/>
      <c r="AD105" s="1714"/>
      <c r="AE105" s="24"/>
      <c r="AF105" s="1714"/>
      <c r="AG105" s="24"/>
      <c r="AH105" s="1714"/>
      <c r="AI105" s="24"/>
      <c r="AJ105" s="1714"/>
      <c r="AK105" s="24"/>
      <c r="AL105" s="1714"/>
      <c r="AM105" s="24"/>
      <c r="AN105" s="1714"/>
      <c r="AO105" s="24"/>
      <c r="AP105" s="1714"/>
      <c r="AQ105" s="24"/>
      <c r="AR105" s="1714"/>
      <c r="AS105" s="24"/>
      <c r="AT105" s="1714"/>
    </row>
    <row r="106" spans="1:59" x14ac:dyDescent="0.2">
      <c r="A106" s="24"/>
      <c r="B106" s="24"/>
      <c r="C106" s="24"/>
      <c r="D106" s="24"/>
      <c r="E106" s="1705"/>
      <c r="F106" s="1719"/>
      <c r="G106" s="1705"/>
      <c r="H106" s="1705"/>
      <c r="I106" s="1705"/>
      <c r="J106" s="1705"/>
      <c r="K106" s="1720"/>
      <c r="L106" s="1708"/>
      <c r="M106" s="1708"/>
      <c r="N106" s="1710"/>
      <c r="O106" s="1710"/>
      <c r="P106" s="1723"/>
      <c r="Q106" s="1710"/>
      <c r="R106" s="24"/>
      <c r="S106" s="24"/>
      <c r="T106" s="1724"/>
      <c r="U106" s="1725"/>
      <c r="V106" s="1725"/>
      <c r="W106" s="24"/>
      <c r="X106" s="24"/>
      <c r="Y106" s="24"/>
      <c r="Z106" s="1714"/>
      <c r="AA106" s="24"/>
      <c r="AB106" s="1714"/>
      <c r="AC106" s="24"/>
      <c r="AD106" s="1714"/>
      <c r="AE106" s="24"/>
      <c r="AF106" s="1714"/>
      <c r="AG106" s="24"/>
      <c r="AH106" s="1714"/>
      <c r="AI106" s="24"/>
      <c r="AJ106" s="1714"/>
      <c r="AK106" s="24"/>
      <c r="AL106" s="1714"/>
      <c r="AM106" s="24"/>
      <c r="AN106" s="1714"/>
      <c r="AO106" s="24"/>
      <c r="AP106" s="1714"/>
      <c r="AQ106" s="24"/>
      <c r="AR106" s="1714"/>
      <c r="AS106" s="24"/>
      <c r="AT106" s="1714"/>
    </row>
    <row r="107" spans="1:59" x14ac:dyDescent="0.2">
      <c r="A107" s="24"/>
      <c r="B107" s="24"/>
      <c r="C107" s="24"/>
      <c r="D107" s="24"/>
      <c r="E107" s="1705"/>
      <c r="F107" s="1719"/>
      <c r="G107" s="1705"/>
      <c r="H107" s="1705"/>
      <c r="I107" s="1705"/>
      <c r="J107" s="1705"/>
      <c r="K107" s="1720"/>
      <c r="L107" s="1708"/>
      <c r="M107" s="1708"/>
      <c r="N107" s="1710"/>
      <c r="O107" s="1710"/>
      <c r="P107" s="1723"/>
      <c r="Q107" s="1710"/>
      <c r="R107" s="24"/>
      <c r="S107" s="24"/>
      <c r="T107" s="1724"/>
      <c r="U107" s="1725"/>
      <c r="V107" s="1725"/>
      <c r="W107" s="24"/>
      <c r="X107" s="24"/>
      <c r="Y107" s="24"/>
      <c r="Z107" s="1714"/>
      <c r="AA107" s="24"/>
      <c r="AB107" s="1714"/>
      <c r="AC107" s="24"/>
      <c r="AD107" s="1714"/>
      <c r="AE107" s="24"/>
      <c r="AF107" s="1714"/>
      <c r="AG107" s="24"/>
      <c r="AH107" s="1714"/>
      <c r="AI107" s="24"/>
      <c r="AJ107" s="1714"/>
      <c r="AK107" s="24"/>
      <c r="AL107" s="1714"/>
      <c r="AM107" s="24"/>
      <c r="AN107" s="1714"/>
      <c r="AO107" s="24"/>
      <c r="AP107" s="1714"/>
      <c r="AQ107" s="24"/>
      <c r="AR107" s="1714"/>
      <c r="AS107" s="24"/>
      <c r="AT107" s="1714"/>
    </row>
    <row r="108" spans="1:59" x14ac:dyDescent="0.2">
      <c r="A108" s="24"/>
      <c r="B108" s="24"/>
      <c r="C108" s="24"/>
      <c r="D108" s="24"/>
      <c r="E108" s="1705"/>
      <c r="F108" s="1719"/>
      <c r="G108" s="1705"/>
      <c r="H108" s="1705"/>
      <c r="I108" s="1705"/>
      <c r="J108" s="1705"/>
      <c r="K108" s="1720"/>
      <c r="L108" s="1708"/>
      <c r="M108" s="1708"/>
      <c r="N108" s="1710"/>
      <c r="O108" s="1710"/>
      <c r="P108" s="1723"/>
      <c r="Q108" s="1710"/>
      <c r="R108" s="24"/>
      <c r="S108" s="24"/>
      <c r="T108" s="1724"/>
      <c r="U108" s="1725"/>
      <c r="V108" s="1725"/>
      <c r="W108" s="24"/>
      <c r="X108" s="24"/>
      <c r="Y108" s="24"/>
      <c r="Z108" s="1714"/>
      <c r="AA108" s="24"/>
      <c r="AB108" s="1714"/>
      <c r="AC108" s="24"/>
      <c r="AD108" s="1714"/>
      <c r="AE108" s="24"/>
      <c r="AF108" s="1714"/>
      <c r="AG108" s="24"/>
      <c r="AH108" s="1714"/>
      <c r="AI108" s="24"/>
      <c r="AJ108" s="1714"/>
      <c r="AK108" s="24"/>
      <c r="AL108" s="1714"/>
      <c r="AM108" s="24"/>
      <c r="AN108" s="1714"/>
      <c r="AO108" s="24"/>
      <c r="AP108" s="1714"/>
      <c r="AQ108" s="24"/>
      <c r="AR108" s="1714"/>
      <c r="AS108" s="24"/>
      <c r="AT108" s="1714"/>
    </row>
    <row r="109" spans="1:59" x14ac:dyDescent="0.2">
      <c r="A109" s="24"/>
      <c r="B109" s="24"/>
      <c r="C109" s="24"/>
      <c r="D109" s="24"/>
      <c r="E109" s="1705"/>
      <c r="F109" s="1719"/>
      <c r="G109" s="1705"/>
      <c r="H109" s="1705"/>
      <c r="I109" s="1705"/>
      <c r="J109" s="1705"/>
      <c r="K109" s="1720"/>
      <c r="L109" s="1708"/>
      <c r="M109" s="1708"/>
      <c r="N109" s="1710"/>
      <c r="O109" s="1710"/>
      <c r="P109" s="1723"/>
      <c r="Q109" s="1710"/>
      <c r="R109" s="24"/>
      <c r="S109" s="24"/>
      <c r="T109" s="1724"/>
      <c r="U109" s="1725"/>
      <c r="V109" s="1725"/>
      <c r="W109" s="24"/>
      <c r="X109" s="24"/>
      <c r="Y109" s="24"/>
      <c r="Z109" s="1714"/>
      <c r="AA109" s="24"/>
      <c r="AB109" s="1714"/>
      <c r="AC109" s="24"/>
      <c r="AD109" s="1714"/>
      <c r="AE109" s="24"/>
      <c r="AF109" s="1714"/>
      <c r="AG109" s="24"/>
      <c r="AH109" s="1714"/>
      <c r="AI109" s="24"/>
      <c r="AJ109" s="1714"/>
      <c r="AK109" s="24"/>
      <c r="AL109" s="1714"/>
      <c r="AM109" s="24"/>
      <c r="AN109" s="1714"/>
      <c r="AO109" s="24"/>
      <c r="AP109" s="1714"/>
      <c r="AQ109" s="24"/>
      <c r="AR109" s="1714"/>
      <c r="AS109" s="24"/>
      <c r="AT109" s="1714"/>
    </row>
    <row r="110" spans="1:59" x14ac:dyDescent="0.2">
      <c r="A110" s="24"/>
      <c r="B110" s="24"/>
      <c r="C110" s="24"/>
      <c r="D110" s="24"/>
      <c r="E110" s="1705"/>
      <c r="F110" s="1719"/>
      <c r="G110" s="1705"/>
      <c r="H110" s="1705"/>
      <c r="I110" s="1705"/>
      <c r="J110" s="1705"/>
      <c r="K110" s="1720"/>
      <c r="L110" s="1708"/>
      <c r="M110" s="1708"/>
      <c r="N110" s="1710"/>
      <c r="O110" s="1710"/>
      <c r="P110" s="1723"/>
      <c r="Q110" s="1710"/>
      <c r="R110" s="24"/>
      <c r="S110" s="24"/>
      <c r="T110" s="1724"/>
      <c r="U110" s="1725"/>
      <c r="V110" s="1725"/>
      <c r="W110" s="24"/>
      <c r="X110" s="24"/>
      <c r="Y110" s="24"/>
      <c r="Z110" s="1714"/>
      <c r="AA110" s="24"/>
      <c r="AB110" s="1714"/>
      <c r="AC110" s="24"/>
      <c r="AD110" s="1714"/>
      <c r="AE110" s="24"/>
      <c r="AF110" s="1714"/>
      <c r="AG110" s="24"/>
      <c r="AH110" s="1714"/>
      <c r="AI110" s="24"/>
      <c r="AJ110" s="1714"/>
      <c r="AK110" s="24"/>
      <c r="AL110" s="1714"/>
      <c r="AM110" s="24"/>
      <c r="AN110" s="1714"/>
      <c r="AO110" s="24"/>
      <c r="AP110" s="1714"/>
      <c r="AQ110" s="24"/>
      <c r="AR110" s="1714"/>
      <c r="AS110" s="24"/>
      <c r="AT110" s="1714"/>
    </row>
    <row r="111" spans="1:59" x14ac:dyDescent="0.2">
      <c r="A111" s="24"/>
      <c r="B111" s="24"/>
      <c r="C111" s="24"/>
      <c r="D111" s="24"/>
      <c r="E111" s="1705"/>
      <c r="F111" s="1719"/>
      <c r="G111" s="1705"/>
      <c r="H111" s="1705"/>
      <c r="I111" s="1705"/>
      <c r="J111" s="1705"/>
      <c r="K111" s="1720"/>
      <c r="L111" s="1708"/>
      <c r="M111" s="1708"/>
      <c r="N111" s="1710"/>
      <c r="O111" s="1710"/>
      <c r="P111" s="1723"/>
      <c r="Q111" s="1710"/>
      <c r="R111" s="24"/>
      <c r="S111" s="24"/>
      <c r="T111" s="1724"/>
      <c r="U111" s="1725"/>
      <c r="V111" s="1725"/>
      <c r="W111" s="24"/>
      <c r="X111" s="24"/>
      <c r="Y111" s="24"/>
      <c r="Z111" s="1714"/>
      <c r="AA111" s="24"/>
      <c r="AB111" s="1714"/>
      <c r="AC111" s="24"/>
      <c r="AD111" s="1714"/>
      <c r="AE111" s="24"/>
      <c r="AF111" s="1714"/>
      <c r="AG111" s="24"/>
      <c r="AH111" s="1714"/>
      <c r="AI111" s="24"/>
      <c r="AJ111" s="1714"/>
      <c r="AK111" s="24"/>
      <c r="AL111" s="1714"/>
      <c r="AM111" s="24"/>
      <c r="AN111" s="1714"/>
      <c r="AO111" s="24"/>
      <c r="AP111" s="1714"/>
      <c r="AQ111" s="24"/>
      <c r="AR111" s="1714"/>
      <c r="AS111" s="24"/>
      <c r="AT111" s="1714"/>
    </row>
    <row r="112" spans="1:59" x14ac:dyDescent="0.2">
      <c r="A112" s="24"/>
      <c r="B112" s="24"/>
      <c r="C112" s="24"/>
      <c r="D112" s="24"/>
      <c r="E112" s="1705"/>
      <c r="F112" s="1719"/>
      <c r="G112" s="1705"/>
      <c r="H112" s="1705"/>
      <c r="I112" s="1705"/>
      <c r="J112" s="1705"/>
      <c r="K112" s="1720"/>
      <c r="L112" s="1708"/>
      <c r="M112" s="1708"/>
      <c r="N112" s="1710"/>
      <c r="O112" s="1710"/>
      <c r="P112" s="1723"/>
      <c r="Q112" s="1710"/>
      <c r="R112" s="24"/>
      <c r="S112" s="24"/>
      <c r="T112" s="1724"/>
      <c r="U112" s="1725"/>
      <c r="V112" s="1725"/>
      <c r="W112" s="24"/>
      <c r="X112" s="24"/>
      <c r="Y112" s="24"/>
      <c r="Z112" s="1714"/>
      <c r="AA112" s="24"/>
      <c r="AB112" s="1714"/>
      <c r="AC112" s="24"/>
      <c r="AD112" s="1714"/>
      <c r="AE112" s="24"/>
      <c r="AF112" s="1714"/>
      <c r="AG112" s="24"/>
      <c r="AH112" s="1714"/>
      <c r="AI112" s="24"/>
      <c r="AJ112" s="1714"/>
      <c r="AK112" s="24"/>
      <c r="AL112" s="1714"/>
      <c r="AM112" s="24"/>
      <c r="AN112" s="1714"/>
      <c r="AO112" s="24"/>
      <c r="AP112" s="1714"/>
      <c r="AQ112" s="24"/>
      <c r="AR112" s="1714"/>
      <c r="AS112" s="24"/>
      <c r="AT112" s="1714"/>
    </row>
    <row r="113" spans="1:46" x14ac:dyDescent="0.2">
      <c r="A113" s="24"/>
      <c r="B113" s="24"/>
      <c r="C113" s="24"/>
      <c r="D113" s="24"/>
      <c r="E113" s="1705"/>
      <c r="F113" s="1719"/>
      <c r="G113" s="1705"/>
      <c r="H113" s="1705"/>
      <c r="I113" s="1705"/>
      <c r="J113" s="1705"/>
      <c r="K113" s="1720"/>
      <c r="L113" s="1708"/>
      <c r="M113" s="1708"/>
      <c r="N113" s="1710"/>
      <c r="O113" s="1710"/>
      <c r="P113" s="1723"/>
      <c r="Q113" s="1710"/>
      <c r="R113" s="24"/>
      <c r="S113" s="24"/>
      <c r="T113" s="1724"/>
      <c r="U113" s="1725"/>
      <c r="V113" s="1725"/>
      <c r="W113" s="24"/>
      <c r="X113" s="24"/>
      <c r="Y113" s="24"/>
      <c r="Z113" s="1714"/>
      <c r="AA113" s="24"/>
      <c r="AB113" s="1714"/>
      <c r="AC113" s="24"/>
      <c r="AD113" s="1714"/>
      <c r="AE113" s="24"/>
      <c r="AF113" s="1714"/>
      <c r="AG113" s="24"/>
      <c r="AH113" s="1714"/>
      <c r="AI113" s="24"/>
      <c r="AJ113" s="1714"/>
      <c r="AK113" s="24"/>
      <c r="AL113" s="1714"/>
      <c r="AM113" s="24"/>
      <c r="AN113" s="1714"/>
      <c r="AO113" s="24"/>
      <c r="AP113" s="1714"/>
      <c r="AQ113" s="24"/>
      <c r="AR113" s="1714"/>
      <c r="AS113" s="24"/>
      <c r="AT113" s="1714"/>
    </row>
    <row r="114" spans="1:46" x14ac:dyDescent="0.2">
      <c r="A114" s="24"/>
      <c r="B114" s="24"/>
      <c r="C114" s="24"/>
      <c r="D114" s="24"/>
      <c r="E114" s="1705"/>
      <c r="F114" s="1719"/>
      <c r="G114" s="1705"/>
      <c r="H114" s="1705"/>
      <c r="I114" s="1705"/>
      <c r="J114" s="1705"/>
      <c r="K114" s="1720"/>
      <c r="L114" s="1708"/>
      <c r="M114" s="1708"/>
      <c r="N114" s="1710"/>
      <c r="O114" s="1710"/>
      <c r="P114" s="1723"/>
      <c r="Q114" s="1710"/>
      <c r="R114" s="24"/>
      <c r="S114" s="24"/>
      <c r="T114" s="1724"/>
      <c r="U114" s="1725"/>
      <c r="V114" s="1725"/>
      <c r="W114" s="24"/>
      <c r="X114" s="24"/>
      <c r="Y114" s="24"/>
      <c r="Z114" s="1714"/>
      <c r="AA114" s="24"/>
      <c r="AB114" s="1714"/>
      <c r="AC114" s="24"/>
      <c r="AD114" s="1714"/>
      <c r="AE114" s="24"/>
      <c r="AF114" s="1714"/>
      <c r="AG114" s="24"/>
      <c r="AH114" s="1714"/>
      <c r="AI114" s="24"/>
      <c r="AJ114" s="1714"/>
      <c r="AK114" s="24"/>
      <c r="AL114" s="1714"/>
      <c r="AM114" s="24"/>
      <c r="AN114" s="1714"/>
      <c r="AO114" s="24"/>
      <c r="AP114" s="1714"/>
      <c r="AQ114" s="24"/>
      <c r="AR114" s="1714"/>
      <c r="AS114" s="24"/>
      <c r="AT114" s="1714"/>
    </row>
    <row r="115" spans="1:46" x14ac:dyDescent="0.2">
      <c r="A115" s="24"/>
      <c r="B115" s="24"/>
      <c r="C115" s="24"/>
      <c r="D115" s="24"/>
      <c r="E115" s="1705"/>
      <c r="F115" s="1719"/>
      <c r="G115" s="1705"/>
      <c r="H115" s="1705"/>
      <c r="I115" s="1705"/>
      <c r="J115" s="1705"/>
      <c r="K115" s="1720"/>
      <c r="L115" s="1708"/>
      <c r="M115" s="1708"/>
      <c r="N115" s="1710"/>
      <c r="O115" s="1710"/>
      <c r="P115" s="1723"/>
      <c r="Q115" s="1710"/>
      <c r="R115" s="24"/>
      <c r="S115" s="24"/>
      <c r="T115" s="1724"/>
      <c r="U115" s="1725"/>
      <c r="V115" s="1725"/>
      <c r="W115" s="24"/>
      <c r="X115" s="24"/>
      <c r="Y115" s="24"/>
      <c r="Z115" s="1714"/>
      <c r="AA115" s="24"/>
      <c r="AB115" s="1714"/>
      <c r="AC115" s="24"/>
      <c r="AD115" s="1714"/>
      <c r="AE115" s="24"/>
      <c r="AF115" s="1714"/>
      <c r="AG115" s="24"/>
      <c r="AH115" s="1714"/>
      <c r="AI115" s="24"/>
      <c r="AJ115" s="1714"/>
      <c r="AK115" s="24"/>
      <c r="AL115" s="1714"/>
      <c r="AM115" s="24"/>
      <c r="AN115" s="1714"/>
      <c r="AO115" s="24"/>
      <c r="AP115" s="1714"/>
      <c r="AQ115" s="24"/>
      <c r="AR115" s="1714"/>
      <c r="AS115" s="24"/>
      <c r="AT115" s="1714"/>
    </row>
    <row r="116" spans="1:46" x14ac:dyDescent="0.2">
      <c r="A116" s="24"/>
      <c r="B116" s="24"/>
      <c r="C116" s="24"/>
      <c r="D116" s="24"/>
      <c r="E116" s="1705"/>
      <c r="F116" s="1719"/>
      <c r="G116" s="1705"/>
      <c r="H116" s="1705"/>
      <c r="I116" s="1705"/>
      <c r="J116" s="1705"/>
      <c r="K116" s="1720"/>
      <c r="L116" s="1708"/>
      <c r="M116" s="1708"/>
      <c r="N116" s="1710"/>
      <c r="O116" s="1710"/>
      <c r="P116" s="1723"/>
      <c r="Q116" s="1710"/>
      <c r="R116" s="24"/>
      <c r="S116" s="24"/>
      <c r="T116" s="1724"/>
      <c r="U116" s="1725"/>
      <c r="V116" s="1725"/>
      <c r="W116" s="24"/>
      <c r="X116" s="24"/>
      <c r="Y116" s="24"/>
      <c r="Z116" s="1714"/>
      <c r="AA116" s="24"/>
      <c r="AB116" s="1714"/>
      <c r="AC116" s="24"/>
      <c r="AD116" s="1714"/>
      <c r="AE116" s="24"/>
      <c r="AF116" s="1714"/>
      <c r="AG116" s="24"/>
      <c r="AH116" s="1714"/>
      <c r="AI116" s="24"/>
      <c r="AJ116" s="1714"/>
      <c r="AK116" s="24"/>
      <c r="AL116" s="1714"/>
      <c r="AM116" s="24"/>
      <c r="AN116" s="1714"/>
      <c r="AO116" s="24"/>
      <c r="AP116" s="1714"/>
      <c r="AQ116" s="24"/>
      <c r="AR116" s="1714"/>
      <c r="AS116" s="24"/>
      <c r="AT116" s="1714"/>
    </row>
    <row r="117" spans="1:46" x14ac:dyDescent="0.2">
      <c r="A117" s="24"/>
      <c r="B117" s="24"/>
      <c r="C117" s="24"/>
      <c r="D117" s="24"/>
      <c r="E117" s="1705"/>
      <c r="F117" s="1719"/>
      <c r="G117" s="1705"/>
      <c r="H117" s="1705"/>
      <c r="I117" s="1705"/>
      <c r="J117" s="1705"/>
      <c r="K117" s="1720"/>
      <c r="L117" s="1708"/>
      <c r="M117" s="1708"/>
      <c r="N117" s="1710"/>
      <c r="O117" s="1710"/>
      <c r="P117" s="1723"/>
      <c r="Q117" s="1710"/>
      <c r="R117" s="24"/>
      <c r="S117" s="24"/>
      <c r="T117" s="1724"/>
      <c r="U117" s="1725"/>
      <c r="V117" s="1725"/>
      <c r="W117" s="24"/>
      <c r="X117" s="24"/>
      <c r="Y117" s="24"/>
      <c r="Z117" s="1714"/>
      <c r="AA117" s="24"/>
      <c r="AB117" s="1714"/>
      <c r="AC117" s="24"/>
      <c r="AD117" s="1714"/>
      <c r="AE117" s="24"/>
      <c r="AF117" s="1714"/>
      <c r="AG117" s="24"/>
      <c r="AH117" s="1714"/>
      <c r="AI117" s="24"/>
      <c r="AJ117" s="1714"/>
      <c r="AK117" s="24"/>
      <c r="AL117" s="1714"/>
      <c r="AM117" s="24"/>
      <c r="AN117" s="1714"/>
      <c r="AO117" s="24"/>
      <c r="AP117" s="1714"/>
      <c r="AQ117" s="24"/>
      <c r="AR117" s="1714"/>
      <c r="AS117" s="24"/>
      <c r="AT117" s="1714"/>
    </row>
    <row r="118" spans="1:46" x14ac:dyDescent="0.2">
      <c r="A118" s="24"/>
      <c r="B118" s="24"/>
      <c r="C118" s="24"/>
      <c r="D118" s="24"/>
      <c r="E118" s="1705"/>
      <c r="F118" s="1719"/>
      <c r="G118" s="1705"/>
      <c r="H118" s="1705"/>
      <c r="I118" s="1705"/>
      <c r="J118" s="1705"/>
      <c r="K118" s="1720"/>
      <c r="L118" s="1708"/>
      <c r="M118" s="1708"/>
      <c r="N118" s="1710"/>
      <c r="O118" s="1710"/>
      <c r="P118" s="1723"/>
      <c r="Q118" s="1710"/>
      <c r="R118" s="24"/>
      <c r="S118" s="24"/>
      <c r="T118" s="1724"/>
      <c r="U118" s="1725"/>
      <c r="V118" s="1725"/>
      <c r="W118" s="24"/>
      <c r="X118" s="24"/>
      <c r="Y118" s="24"/>
      <c r="Z118" s="1714"/>
      <c r="AA118" s="24"/>
      <c r="AB118" s="1714"/>
      <c r="AC118" s="24"/>
      <c r="AD118" s="1714"/>
      <c r="AE118" s="24"/>
      <c r="AF118" s="1714"/>
      <c r="AG118" s="24"/>
      <c r="AH118" s="1714"/>
      <c r="AI118" s="24"/>
      <c r="AJ118" s="1714"/>
      <c r="AK118" s="24"/>
      <c r="AL118" s="1714"/>
      <c r="AM118" s="24"/>
      <c r="AN118" s="1714"/>
      <c r="AO118" s="24"/>
      <c r="AP118" s="1714"/>
      <c r="AQ118" s="24"/>
      <c r="AR118" s="1714"/>
      <c r="AS118" s="24"/>
      <c r="AT118" s="1714"/>
    </row>
    <row r="119" spans="1:46" x14ac:dyDescent="0.2">
      <c r="A119" s="24"/>
      <c r="B119" s="24"/>
      <c r="C119" s="24"/>
      <c r="D119" s="24"/>
      <c r="E119" s="1705"/>
      <c r="F119" s="1719"/>
      <c r="G119" s="1705"/>
      <c r="H119" s="1705"/>
      <c r="I119" s="1705"/>
      <c r="J119" s="1705"/>
      <c r="K119" s="1720"/>
      <c r="L119" s="1708"/>
      <c r="M119" s="1708"/>
      <c r="N119" s="1710"/>
      <c r="O119" s="1710"/>
      <c r="P119" s="1723"/>
      <c r="Q119" s="1710"/>
      <c r="R119" s="24"/>
      <c r="S119" s="24"/>
      <c r="T119" s="1724"/>
      <c r="U119" s="1725"/>
      <c r="V119" s="1725"/>
      <c r="W119" s="24"/>
      <c r="X119" s="24"/>
      <c r="Y119" s="24"/>
      <c r="Z119" s="1714"/>
      <c r="AA119" s="24"/>
      <c r="AB119" s="1714"/>
      <c r="AC119" s="24"/>
      <c r="AD119" s="1714"/>
      <c r="AE119" s="24"/>
      <c r="AF119" s="1714"/>
      <c r="AG119" s="24"/>
      <c r="AH119" s="1714"/>
      <c r="AI119" s="24"/>
      <c r="AJ119" s="1714"/>
      <c r="AK119" s="24"/>
      <c r="AL119" s="1714"/>
      <c r="AM119" s="24"/>
      <c r="AN119" s="1714"/>
      <c r="AO119" s="24"/>
      <c r="AP119" s="1714"/>
      <c r="AQ119" s="24"/>
      <c r="AR119" s="1714"/>
      <c r="AS119" s="24"/>
      <c r="AT119" s="1714"/>
    </row>
    <row r="120" spans="1:46" x14ac:dyDescent="0.2">
      <c r="A120" s="24"/>
      <c r="B120" s="24"/>
      <c r="C120" s="24"/>
      <c r="D120" s="24"/>
      <c r="E120" s="1705"/>
      <c r="F120" s="1719"/>
      <c r="G120" s="1705"/>
      <c r="H120" s="1705"/>
      <c r="I120" s="1705"/>
      <c r="J120" s="1705"/>
      <c r="K120" s="1720"/>
      <c r="L120" s="1708"/>
      <c r="M120" s="1708"/>
      <c r="N120" s="1710"/>
      <c r="O120" s="1710"/>
      <c r="P120" s="1723"/>
      <c r="Q120" s="1710"/>
      <c r="R120" s="24"/>
      <c r="S120" s="24"/>
      <c r="T120" s="1724"/>
      <c r="U120" s="1725"/>
      <c r="V120" s="1725"/>
      <c r="W120" s="24"/>
      <c r="X120" s="24"/>
      <c r="Y120" s="24"/>
      <c r="Z120" s="1714"/>
      <c r="AA120" s="24"/>
      <c r="AB120" s="1714"/>
      <c r="AC120" s="24"/>
      <c r="AD120" s="1714"/>
      <c r="AE120" s="24"/>
      <c r="AF120" s="1714"/>
      <c r="AG120" s="24"/>
      <c r="AH120" s="1714"/>
      <c r="AI120" s="24"/>
      <c r="AJ120" s="1714"/>
      <c r="AK120" s="24"/>
      <c r="AL120" s="1714"/>
      <c r="AM120" s="24"/>
      <c r="AN120" s="1714"/>
      <c r="AO120" s="24"/>
      <c r="AP120" s="1714"/>
      <c r="AQ120" s="24"/>
      <c r="AR120" s="1714"/>
      <c r="AS120" s="24"/>
      <c r="AT120" s="1714"/>
    </row>
    <row r="121" spans="1:46" x14ac:dyDescent="0.2">
      <c r="A121" s="24"/>
      <c r="B121" s="24"/>
      <c r="C121" s="24"/>
      <c r="D121" s="24"/>
      <c r="E121" s="1705"/>
      <c r="F121" s="1719"/>
      <c r="G121" s="1705"/>
      <c r="H121" s="1705"/>
      <c r="I121" s="1705"/>
      <c r="J121" s="1705"/>
      <c r="K121" s="1720"/>
      <c r="L121" s="1708"/>
      <c r="M121" s="1708"/>
      <c r="N121" s="1710"/>
      <c r="O121" s="1710"/>
      <c r="P121" s="1723"/>
      <c r="Q121" s="1710"/>
      <c r="R121" s="24"/>
      <c r="S121" s="24"/>
      <c r="T121" s="1724"/>
      <c r="U121" s="1725"/>
      <c r="V121" s="1725"/>
      <c r="W121" s="24"/>
      <c r="X121" s="24"/>
      <c r="Y121" s="24"/>
      <c r="Z121" s="1714"/>
      <c r="AA121" s="24"/>
      <c r="AB121" s="1714"/>
      <c r="AC121" s="24"/>
      <c r="AD121" s="1714"/>
      <c r="AE121" s="24"/>
      <c r="AF121" s="1714"/>
      <c r="AG121" s="24"/>
      <c r="AH121" s="1714"/>
      <c r="AI121" s="24"/>
      <c r="AJ121" s="1714"/>
      <c r="AK121" s="24"/>
      <c r="AL121" s="1714"/>
      <c r="AM121" s="24"/>
      <c r="AN121" s="1714"/>
      <c r="AO121" s="24"/>
      <c r="AP121" s="1714"/>
      <c r="AQ121" s="24"/>
      <c r="AR121" s="1714"/>
      <c r="AS121" s="24"/>
      <c r="AT121" s="1714"/>
    </row>
    <row r="122" spans="1:46" x14ac:dyDescent="0.2">
      <c r="A122" s="24"/>
      <c r="B122" s="24"/>
      <c r="C122" s="24"/>
      <c r="D122" s="24"/>
      <c r="E122" s="1705"/>
      <c r="F122" s="1719"/>
      <c r="G122" s="1705"/>
      <c r="H122" s="1705"/>
      <c r="I122" s="1705"/>
      <c r="J122" s="1705"/>
      <c r="K122" s="1720"/>
      <c r="L122" s="1705"/>
      <c r="M122" s="1705"/>
      <c r="N122" s="24"/>
      <c r="O122" s="24"/>
      <c r="P122" s="1724"/>
      <c r="Q122" s="24"/>
      <c r="R122" s="24"/>
      <c r="S122" s="24"/>
      <c r="T122" s="1724"/>
      <c r="U122" s="1725"/>
      <c r="V122" s="1725"/>
      <c r="W122" s="24"/>
      <c r="X122" s="24"/>
      <c r="Y122" s="24"/>
      <c r="Z122" s="1714"/>
      <c r="AA122" s="24"/>
      <c r="AB122" s="1714"/>
      <c r="AC122" s="24"/>
      <c r="AD122" s="1714"/>
      <c r="AE122" s="24"/>
      <c r="AF122" s="1714"/>
      <c r="AG122" s="24"/>
      <c r="AH122" s="1714"/>
      <c r="AI122" s="24"/>
      <c r="AJ122" s="1714"/>
      <c r="AK122" s="24"/>
      <c r="AL122" s="1714"/>
      <c r="AM122" s="24"/>
      <c r="AN122" s="1714"/>
      <c r="AO122" s="24"/>
      <c r="AP122" s="1714"/>
      <c r="AQ122" s="24"/>
      <c r="AR122" s="1714"/>
      <c r="AS122" s="24"/>
      <c r="AT122" s="1714"/>
    </row>
    <row r="123" spans="1:46" x14ac:dyDescent="0.2">
      <c r="A123" s="24"/>
      <c r="B123" s="24"/>
      <c r="C123" s="24"/>
      <c r="D123" s="24"/>
      <c r="E123" s="24"/>
      <c r="F123" s="1726"/>
      <c r="G123" s="24"/>
      <c r="H123" s="24"/>
      <c r="I123" s="24"/>
      <c r="J123" s="24"/>
      <c r="K123" s="1714"/>
      <c r="L123" s="24"/>
      <c r="M123" s="24"/>
      <c r="N123" s="24"/>
      <c r="O123" s="24"/>
      <c r="P123" s="1724"/>
      <c r="Q123" s="24"/>
      <c r="R123" s="24"/>
      <c r="S123" s="24"/>
      <c r="T123" s="1724"/>
      <c r="U123" s="1725"/>
      <c r="V123" s="1725"/>
      <c r="W123" s="24"/>
      <c r="X123" s="24"/>
      <c r="Y123" s="24"/>
      <c r="Z123" s="1714"/>
      <c r="AA123" s="24"/>
      <c r="AB123" s="1714"/>
      <c r="AC123" s="24"/>
      <c r="AD123" s="1714"/>
      <c r="AE123" s="24"/>
      <c r="AF123" s="1714"/>
      <c r="AG123" s="24"/>
      <c r="AH123" s="1714"/>
      <c r="AI123" s="24"/>
      <c r="AJ123" s="1714"/>
      <c r="AK123" s="24"/>
      <c r="AL123" s="1714"/>
      <c r="AM123" s="24"/>
      <c r="AN123" s="1714"/>
      <c r="AO123" s="24"/>
      <c r="AP123" s="1714"/>
      <c r="AQ123" s="24"/>
      <c r="AR123" s="1714"/>
      <c r="AS123" s="24"/>
      <c r="AT123" s="1714"/>
    </row>
    <row r="124" spans="1:46" x14ac:dyDescent="0.2">
      <c r="A124" s="24"/>
      <c r="B124" s="24"/>
      <c r="C124" s="24"/>
      <c r="D124" s="24"/>
      <c r="E124" s="24"/>
      <c r="F124" s="1726"/>
      <c r="G124" s="24"/>
      <c r="H124" s="24"/>
      <c r="I124" s="24"/>
      <c r="J124" s="24"/>
      <c r="K124" s="1714"/>
      <c r="L124" s="24"/>
      <c r="M124" s="24"/>
      <c r="N124" s="24"/>
      <c r="O124" s="24"/>
      <c r="P124" s="1724"/>
      <c r="Q124" s="24"/>
      <c r="R124" s="24"/>
      <c r="S124" s="24"/>
      <c r="T124" s="1724"/>
      <c r="U124" s="1725"/>
      <c r="V124" s="1725"/>
      <c r="W124" s="24"/>
      <c r="X124" s="24"/>
      <c r="Y124" s="24"/>
      <c r="Z124" s="1714"/>
      <c r="AA124" s="24"/>
      <c r="AB124" s="1714"/>
      <c r="AC124" s="24"/>
      <c r="AD124" s="1714"/>
      <c r="AE124" s="24"/>
      <c r="AF124" s="1714"/>
      <c r="AG124" s="24"/>
      <c r="AH124" s="1714"/>
      <c r="AI124" s="24"/>
      <c r="AJ124" s="1714"/>
      <c r="AK124" s="24"/>
      <c r="AL124" s="1714"/>
      <c r="AM124" s="24"/>
      <c r="AN124" s="1714"/>
      <c r="AO124" s="24"/>
      <c r="AP124" s="1714"/>
      <c r="AQ124" s="24"/>
      <c r="AR124" s="1714"/>
      <c r="AS124" s="24"/>
      <c r="AT124" s="1714"/>
    </row>
    <row r="125" spans="1:46" x14ac:dyDescent="0.2">
      <c r="A125" s="24"/>
      <c r="B125" s="24"/>
      <c r="C125" s="24"/>
      <c r="D125" s="24"/>
      <c r="E125" s="24"/>
      <c r="F125" s="1726"/>
      <c r="G125" s="24"/>
      <c r="H125" s="24"/>
      <c r="I125" s="24"/>
      <c r="J125" s="24"/>
      <c r="K125" s="1714"/>
      <c r="L125" s="24"/>
      <c r="M125" s="24"/>
      <c r="N125" s="24"/>
      <c r="O125" s="24"/>
      <c r="P125" s="1724"/>
      <c r="Q125" s="24"/>
      <c r="R125" s="24"/>
      <c r="S125" s="24"/>
      <c r="T125" s="1724"/>
      <c r="U125" s="1725"/>
      <c r="V125" s="1725"/>
      <c r="W125" s="24"/>
      <c r="X125" s="24"/>
      <c r="Y125" s="24"/>
      <c r="Z125" s="1714"/>
      <c r="AA125" s="24"/>
      <c r="AB125" s="1714"/>
      <c r="AC125" s="24"/>
      <c r="AD125" s="1714"/>
      <c r="AE125" s="24"/>
      <c r="AF125" s="1714"/>
      <c r="AG125" s="24"/>
      <c r="AH125" s="1714"/>
      <c r="AI125" s="24"/>
      <c r="AJ125" s="1714"/>
      <c r="AK125" s="24"/>
      <c r="AL125" s="1714"/>
      <c r="AM125" s="24"/>
      <c r="AN125" s="1714"/>
      <c r="AO125" s="24"/>
      <c r="AP125" s="1714"/>
      <c r="AQ125" s="24"/>
      <c r="AR125" s="1714"/>
      <c r="AS125" s="24"/>
      <c r="AT125" s="1714"/>
    </row>
    <row r="126" spans="1:46" x14ac:dyDescent="0.2">
      <c r="A126" s="24"/>
      <c r="B126" s="24"/>
      <c r="C126" s="24"/>
      <c r="D126" s="24"/>
      <c r="E126" s="24"/>
      <c r="F126" s="1726"/>
      <c r="G126" s="24"/>
      <c r="H126" s="24"/>
      <c r="I126" s="24"/>
      <c r="J126" s="24"/>
      <c r="K126" s="1714"/>
      <c r="L126" s="24"/>
      <c r="M126" s="24"/>
      <c r="N126" s="24"/>
      <c r="O126" s="24"/>
      <c r="P126" s="1724"/>
      <c r="Q126" s="24"/>
      <c r="R126" s="24"/>
      <c r="S126" s="24"/>
      <c r="T126" s="1724"/>
      <c r="U126" s="1725"/>
      <c r="V126" s="1725"/>
      <c r="W126" s="24"/>
      <c r="X126" s="24"/>
      <c r="Y126" s="24"/>
      <c r="Z126" s="1714"/>
      <c r="AA126" s="24"/>
      <c r="AB126" s="1714"/>
      <c r="AC126" s="24"/>
      <c r="AD126" s="1714"/>
      <c r="AE126" s="24"/>
      <c r="AF126" s="1714"/>
      <c r="AG126" s="24"/>
      <c r="AH126" s="1714"/>
      <c r="AI126" s="24"/>
      <c r="AJ126" s="1714"/>
      <c r="AK126" s="24"/>
      <c r="AL126" s="1714"/>
      <c r="AM126" s="24"/>
      <c r="AN126" s="1714"/>
      <c r="AO126" s="24"/>
      <c r="AP126" s="1714"/>
      <c r="AQ126" s="24"/>
      <c r="AR126" s="1714"/>
      <c r="AS126" s="24"/>
      <c r="AT126" s="1714"/>
    </row>
    <row r="127" spans="1:46" x14ac:dyDescent="0.2">
      <c r="A127" s="24"/>
      <c r="B127" s="24"/>
      <c r="C127" s="24"/>
      <c r="D127" s="24"/>
      <c r="E127" s="24"/>
      <c r="F127" s="1726"/>
      <c r="G127" s="24"/>
      <c r="H127" s="24"/>
      <c r="I127" s="24"/>
      <c r="J127" s="24"/>
      <c r="K127" s="1714"/>
      <c r="L127" s="24"/>
      <c r="M127" s="24"/>
      <c r="N127" s="24"/>
      <c r="O127" s="24"/>
      <c r="P127" s="1724"/>
      <c r="Q127" s="24"/>
      <c r="R127" s="24"/>
    </row>
    <row r="128" spans="1:46" x14ac:dyDescent="0.2">
      <c r="A128" s="24"/>
      <c r="B128" s="24"/>
      <c r="C128" s="24"/>
      <c r="D128" s="24"/>
      <c r="E128" s="24"/>
      <c r="F128" s="1726"/>
      <c r="G128" s="24"/>
      <c r="H128" s="24"/>
      <c r="I128" s="24"/>
      <c r="J128" s="24"/>
      <c r="K128" s="1714"/>
      <c r="L128" s="24"/>
      <c r="M128" s="24"/>
      <c r="N128" s="24"/>
      <c r="O128" s="24"/>
      <c r="P128" s="1724"/>
      <c r="Q128" s="24"/>
      <c r="R128" s="24"/>
    </row>
  </sheetData>
  <mergeCells count="922">
    <mergeCell ref="A5:M6"/>
    <mergeCell ref="Q5:BG5"/>
    <mergeCell ref="Q6:AA6"/>
    <mergeCell ref="AB6:AY6"/>
    <mergeCell ref="BF6:BG6"/>
    <mergeCell ref="A95:O95"/>
    <mergeCell ref="H102:L102"/>
    <mergeCell ref="H103:L103"/>
    <mergeCell ref="A105:D105"/>
    <mergeCell ref="BC89:BC94"/>
    <mergeCell ref="BD89:BD94"/>
    <mergeCell ref="BE89:BE94"/>
    <mergeCell ref="BF89:BF94"/>
    <mergeCell ref="BG89:BG94"/>
    <mergeCell ref="L90:L92"/>
    <mergeCell ref="L93:L94"/>
    <mergeCell ref="S93:S94"/>
    <mergeCell ref="AW89:AW94"/>
    <mergeCell ref="AX89:AX94"/>
    <mergeCell ref="AY89:AY94"/>
    <mergeCell ref="AZ89:AZ94"/>
    <mergeCell ref="BA89:BA94"/>
    <mergeCell ref="BB89:BB94"/>
    <mergeCell ref="AQ89:AQ94"/>
    <mergeCell ref="AR89:AR94"/>
    <mergeCell ref="AS89:AS94"/>
    <mergeCell ref="AT89:AT94"/>
    <mergeCell ref="AU89:AU94"/>
    <mergeCell ref="AV89:AV94"/>
    <mergeCell ref="AK89:AK94"/>
    <mergeCell ref="AL89:AL94"/>
    <mergeCell ref="AM89:AM94"/>
    <mergeCell ref="AN89:AN94"/>
    <mergeCell ref="AO89:AO94"/>
    <mergeCell ref="AP89:AP94"/>
    <mergeCell ref="AE89:AE94"/>
    <mergeCell ref="AF89:AF94"/>
    <mergeCell ref="AG89:AG94"/>
    <mergeCell ref="AH89:AH94"/>
    <mergeCell ref="AI89:AI94"/>
    <mergeCell ref="AJ89:AJ94"/>
    <mergeCell ref="Y89:Y94"/>
    <mergeCell ref="Z89:Z94"/>
    <mergeCell ref="AA89:AA94"/>
    <mergeCell ref="AB89:AB94"/>
    <mergeCell ref="AC89:AC94"/>
    <mergeCell ref="AD89:AD94"/>
    <mergeCell ref="O89:O94"/>
    <mergeCell ref="P89:P94"/>
    <mergeCell ref="Q89:Q94"/>
    <mergeCell ref="R89:R94"/>
    <mergeCell ref="W89:W92"/>
    <mergeCell ref="X89:X92"/>
    <mergeCell ref="BG83:BG86"/>
    <mergeCell ref="C88:D94"/>
    <mergeCell ref="E89:F94"/>
    <mergeCell ref="G89:G92"/>
    <mergeCell ref="H89:H92"/>
    <mergeCell ref="I89:I92"/>
    <mergeCell ref="J89:J92"/>
    <mergeCell ref="K89:K92"/>
    <mergeCell ref="M89:M94"/>
    <mergeCell ref="N89:N94"/>
    <mergeCell ref="BA83:BA86"/>
    <mergeCell ref="BB83:BB86"/>
    <mergeCell ref="BC83:BC86"/>
    <mergeCell ref="BD83:BD86"/>
    <mergeCell ref="BE83:BE86"/>
    <mergeCell ref="BF83:BF86"/>
    <mergeCell ref="AU83:AU86"/>
    <mergeCell ref="AV83:AV86"/>
    <mergeCell ref="AW83:AW86"/>
    <mergeCell ref="AX83:AX86"/>
    <mergeCell ref="AY83:AY86"/>
    <mergeCell ref="AZ83:AZ86"/>
    <mergeCell ref="AO83:AO86"/>
    <mergeCell ref="AP83:AP86"/>
    <mergeCell ref="AQ83:AQ86"/>
    <mergeCell ref="AR83:AR86"/>
    <mergeCell ref="AS83:AS86"/>
    <mergeCell ref="AT83:AT86"/>
    <mergeCell ref="AI83:AI86"/>
    <mergeCell ref="AJ83:AJ86"/>
    <mergeCell ref="AK83:AK86"/>
    <mergeCell ref="AL83:AL86"/>
    <mergeCell ref="AM83:AM86"/>
    <mergeCell ref="AN83:AN86"/>
    <mergeCell ref="AC83:AC86"/>
    <mergeCell ref="AD83:AD86"/>
    <mergeCell ref="AE83:AE86"/>
    <mergeCell ref="AF83:AF86"/>
    <mergeCell ref="AG83:AG86"/>
    <mergeCell ref="AH83:AH86"/>
    <mergeCell ref="Z83:Z86"/>
    <mergeCell ref="AA83:AA86"/>
    <mergeCell ref="AB83:AB86"/>
    <mergeCell ref="M83:M86"/>
    <mergeCell ref="N83:N86"/>
    <mergeCell ref="O83:O86"/>
    <mergeCell ref="P83:P86"/>
    <mergeCell ref="Q83:Q86"/>
    <mergeCell ref="R83:R86"/>
    <mergeCell ref="J83:J86"/>
    <mergeCell ref="K83:K86"/>
    <mergeCell ref="L83:L86"/>
    <mergeCell ref="BB81:BB82"/>
    <mergeCell ref="BC81:BC82"/>
    <mergeCell ref="BD81:BD82"/>
    <mergeCell ref="AP81:AP82"/>
    <mergeCell ref="AQ81:AQ82"/>
    <mergeCell ref="AR81:AR82"/>
    <mergeCell ref="AS81:AS82"/>
    <mergeCell ref="AT81:AT82"/>
    <mergeCell ref="AU81:AU82"/>
    <mergeCell ref="AJ81:AJ82"/>
    <mergeCell ref="AK81:AK82"/>
    <mergeCell ref="AL81:AL82"/>
    <mergeCell ref="AM81:AM82"/>
    <mergeCell ref="AN81:AN82"/>
    <mergeCell ref="AO81:AO82"/>
    <mergeCell ref="AD81:AD82"/>
    <mergeCell ref="AE81:AE82"/>
    <mergeCell ref="AF81:AF82"/>
    <mergeCell ref="W83:W86"/>
    <mergeCell ref="X83:X86"/>
    <mergeCell ref="Y83:Y86"/>
    <mergeCell ref="BE81:BE82"/>
    <mergeCell ref="BF81:BF82"/>
    <mergeCell ref="BG81:BG82"/>
    <mergeCell ref="AV81:AV82"/>
    <mergeCell ref="AW81:AW82"/>
    <mergeCell ref="AX81:AX82"/>
    <mergeCell ref="AY81:AY82"/>
    <mergeCell ref="AZ81:AZ82"/>
    <mergeCell ref="BA81:BA82"/>
    <mergeCell ref="AG81:AG82"/>
    <mergeCell ref="AH81:AH82"/>
    <mergeCell ref="AI81:AI82"/>
    <mergeCell ref="X81:X82"/>
    <mergeCell ref="Y81:Y82"/>
    <mergeCell ref="Z81:Z82"/>
    <mergeCell ref="AA81:AA82"/>
    <mergeCell ref="AB81:AB82"/>
    <mergeCell ref="AC81:AC82"/>
    <mergeCell ref="L81:L82"/>
    <mergeCell ref="M81:M82"/>
    <mergeCell ref="N81:N82"/>
    <mergeCell ref="O81:O82"/>
    <mergeCell ref="P81:P82"/>
    <mergeCell ref="W81:W82"/>
    <mergeCell ref="BF76:BF78"/>
    <mergeCell ref="BG76:BG78"/>
    <mergeCell ref="E80:F86"/>
    <mergeCell ref="G80:G82"/>
    <mergeCell ref="H80:H82"/>
    <mergeCell ref="I80:I82"/>
    <mergeCell ref="J80:J82"/>
    <mergeCell ref="K80:K82"/>
    <mergeCell ref="Q80:Q82"/>
    <mergeCell ref="R80:R82"/>
    <mergeCell ref="AZ76:AZ78"/>
    <mergeCell ref="BA76:BA78"/>
    <mergeCell ref="BB76:BB78"/>
    <mergeCell ref="BC76:BC78"/>
    <mergeCell ref="BD76:BD78"/>
    <mergeCell ref="BE76:BE78"/>
    <mergeCell ref="AT76:AT78"/>
    <mergeCell ref="AU76:AU78"/>
    <mergeCell ref="AV76:AV78"/>
    <mergeCell ref="AW76:AW78"/>
    <mergeCell ref="AX76:AX78"/>
    <mergeCell ref="AY76:AY78"/>
    <mergeCell ref="AN76:AN78"/>
    <mergeCell ref="AO76:AO78"/>
    <mergeCell ref="AP76:AP78"/>
    <mergeCell ref="AQ76:AQ78"/>
    <mergeCell ref="AR76:AR78"/>
    <mergeCell ref="AS76:AS78"/>
    <mergeCell ref="AI76:AI78"/>
    <mergeCell ref="AJ76:AJ78"/>
    <mergeCell ref="AK76:AK78"/>
    <mergeCell ref="AL76:AL78"/>
    <mergeCell ref="AM76:AM78"/>
    <mergeCell ref="AB76:AB78"/>
    <mergeCell ref="AC76:AC78"/>
    <mergeCell ref="AD76:AD78"/>
    <mergeCell ref="AE76:AE78"/>
    <mergeCell ref="AF76:AF78"/>
    <mergeCell ref="AG76:AG78"/>
    <mergeCell ref="Z76:Z78"/>
    <mergeCell ref="AA76:AA78"/>
    <mergeCell ref="L76:L78"/>
    <mergeCell ref="M76:M78"/>
    <mergeCell ref="N76:N78"/>
    <mergeCell ref="O76:O78"/>
    <mergeCell ref="P76:P78"/>
    <mergeCell ref="Q76:Q78"/>
    <mergeCell ref="AH76:AH78"/>
    <mergeCell ref="J76:J78"/>
    <mergeCell ref="K76:K78"/>
    <mergeCell ref="BB72:BB74"/>
    <mergeCell ref="BC72:BC74"/>
    <mergeCell ref="BD72:BD74"/>
    <mergeCell ref="AP72:AP74"/>
    <mergeCell ref="AQ72:AQ74"/>
    <mergeCell ref="AR72:AR74"/>
    <mergeCell ref="AS72:AS74"/>
    <mergeCell ref="AT72:AT74"/>
    <mergeCell ref="AU72:AU74"/>
    <mergeCell ref="AJ72:AJ74"/>
    <mergeCell ref="AK72:AK74"/>
    <mergeCell ref="AL72:AL74"/>
    <mergeCell ref="AM72:AM74"/>
    <mergeCell ref="AN72:AN74"/>
    <mergeCell ref="AO72:AO74"/>
    <mergeCell ref="AD72:AD74"/>
    <mergeCell ref="AE72:AE74"/>
    <mergeCell ref="AF72:AF74"/>
    <mergeCell ref="R76:R78"/>
    <mergeCell ref="W76:W78"/>
    <mergeCell ref="X76:X78"/>
    <mergeCell ref="Y76:Y78"/>
    <mergeCell ref="X72:X74"/>
    <mergeCell ref="Y72:Y74"/>
    <mergeCell ref="Z72:Z74"/>
    <mergeCell ref="AA72:AA74"/>
    <mergeCell ref="AB72:AB74"/>
    <mergeCell ref="AC72:AC74"/>
    <mergeCell ref="BE72:BE74"/>
    <mergeCell ref="BF72:BF74"/>
    <mergeCell ref="BG72:BG74"/>
    <mergeCell ref="AV72:AV74"/>
    <mergeCell ref="AW72:AW74"/>
    <mergeCell ref="AX72:AX74"/>
    <mergeCell ref="AY72:AY74"/>
    <mergeCell ref="AZ72:AZ74"/>
    <mergeCell ref="BA72:BA74"/>
    <mergeCell ref="Q72:Q74"/>
    <mergeCell ref="R72:R74"/>
    <mergeCell ref="W72:W74"/>
    <mergeCell ref="BE70:BE71"/>
    <mergeCell ref="BF70:BF71"/>
    <mergeCell ref="BG70:BG71"/>
    <mergeCell ref="BA70:BA71"/>
    <mergeCell ref="BB70:BB71"/>
    <mergeCell ref="BC70:BC71"/>
    <mergeCell ref="BD70:BD71"/>
    <mergeCell ref="AJ70:AJ71"/>
    <mergeCell ref="AK70:AK71"/>
    <mergeCell ref="AL70:AL71"/>
    <mergeCell ref="AA70:AA71"/>
    <mergeCell ref="AB70:AB71"/>
    <mergeCell ref="AC70:AC71"/>
    <mergeCell ref="AD70:AD71"/>
    <mergeCell ref="AE70:AE71"/>
    <mergeCell ref="AF70:AF71"/>
    <mergeCell ref="Q70:Q71"/>
    <mergeCell ref="R70:R71"/>
    <mergeCell ref="AG72:AG74"/>
    <mergeCell ref="AH72:AH74"/>
    <mergeCell ref="AI72:AI74"/>
    <mergeCell ref="J72:J74"/>
    <mergeCell ref="K72:K74"/>
    <mergeCell ref="L72:L74"/>
    <mergeCell ref="M72:M74"/>
    <mergeCell ref="AY70:AY71"/>
    <mergeCell ref="AZ70:AZ71"/>
    <mergeCell ref="AS70:AS71"/>
    <mergeCell ref="AT70:AT71"/>
    <mergeCell ref="AU70:AU71"/>
    <mergeCell ref="AV70:AV71"/>
    <mergeCell ref="AW70:AW71"/>
    <mergeCell ref="AX70:AX71"/>
    <mergeCell ref="AM70:AM71"/>
    <mergeCell ref="AN70:AN71"/>
    <mergeCell ref="AO70:AO71"/>
    <mergeCell ref="AP70:AP71"/>
    <mergeCell ref="AQ70:AQ71"/>
    <mergeCell ref="AR70:AR71"/>
    <mergeCell ref="AG70:AG71"/>
    <mergeCell ref="AH70:AH71"/>
    <mergeCell ref="AI70:AI71"/>
    <mergeCell ref="N72:N74"/>
    <mergeCell ref="O72:O74"/>
    <mergeCell ref="P72:P74"/>
    <mergeCell ref="W70:W71"/>
    <mergeCell ref="X70:X71"/>
    <mergeCell ref="Y70:Y71"/>
    <mergeCell ref="Z70:Z71"/>
    <mergeCell ref="K70:K71"/>
    <mergeCell ref="L70:L71"/>
    <mergeCell ref="M70:M71"/>
    <mergeCell ref="N70:N71"/>
    <mergeCell ref="O70:O71"/>
    <mergeCell ref="P70:P71"/>
    <mergeCell ref="BG66:BG68"/>
    <mergeCell ref="BC67:BC68"/>
    <mergeCell ref="BD67:BD68"/>
    <mergeCell ref="BE67:BE68"/>
    <mergeCell ref="BF67:BF68"/>
    <mergeCell ref="E70:F74"/>
    <mergeCell ref="G70:G71"/>
    <mergeCell ref="H70:H71"/>
    <mergeCell ref="I70:I71"/>
    <mergeCell ref="J70:J71"/>
    <mergeCell ref="AW66:AW68"/>
    <mergeCell ref="AX66:AX68"/>
    <mergeCell ref="AY66:AY68"/>
    <mergeCell ref="AZ66:AZ68"/>
    <mergeCell ref="BA66:BA68"/>
    <mergeCell ref="BB66:BB68"/>
    <mergeCell ref="AQ66:AQ68"/>
    <mergeCell ref="AR66:AR68"/>
    <mergeCell ref="AS66:AS68"/>
    <mergeCell ref="AT66:AT68"/>
    <mergeCell ref="AU66:AU68"/>
    <mergeCell ref="AV66:AV68"/>
    <mergeCell ref="AK66:AK68"/>
    <mergeCell ref="AL66:AL68"/>
    <mergeCell ref="AM66:AM68"/>
    <mergeCell ref="AN66:AN68"/>
    <mergeCell ref="AO66:AO68"/>
    <mergeCell ref="AP66:AP68"/>
    <mergeCell ref="AE66:AE68"/>
    <mergeCell ref="AF66:AF68"/>
    <mergeCell ref="AG66:AG68"/>
    <mergeCell ref="AH66:AH68"/>
    <mergeCell ref="AI66:AI68"/>
    <mergeCell ref="AJ66:AJ68"/>
    <mergeCell ref="Y66:Y68"/>
    <mergeCell ref="Z66:Z68"/>
    <mergeCell ref="AA66:AA68"/>
    <mergeCell ref="AB66:AB68"/>
    <mergeCell ref="AC66:AC68"/>
    <mergeCell ref="AD66:AD68"/>
    <mergeCell ref="M66:M68"/>
    <mergeCell ref="N66:N68"/>
    <mergeCell ref="O66:O68"/>
    <mergeCell ref="P66:P68"/>
    <mergeCell ref="W66:W68"/>
    <mergeCell ref="X66:X68"/>
    <mergeCell ref="AP64:AP65"/>
    <mergeCell ref="AQ64:AQ65"/>
    <mergeCell ref="AR64:AR65"/>
    <mergeCell ref="AS64:AS65"/>
    <mergeCell ref="AT64:AT65"/>
    <mergeCell ref="AU64:AU65"/>
    <mergeCell ref="AJ64:AJ65"/>
    <mergeCell ref="AK64:AK65"/>
    <mergeCell ref="AL64:AL65"/>
    <mergeCell ref="AM64:AM65"/>
    <mergeCell ref="AN64:AN65"/>
    <mergeCell ref="AO64:AO65"/>
    <mergeCell ref="BE64:BE65"/>
    <mergeCell ref="BF64:BF65"/>
    <mergeCell ref="BG64:BG65"/>
    <mergeCell ref="AV64:AV65"/>
    <mergeCell ref="AW64:AW65"/>
    <mergeCell ref="AX64:AX65"/>
    <mergeCell ref="AY64:AY65"/>
    <mergeCell ref="AZ64:AZ65"/>
    <mergeCell ref="BA64:BA65"/>
    <mergeCell ref="BB64:BB65"/>
    <mergeCell ref="BC64:BC65"/>
    <mergeCell ref="BD64:BD65"/>
    <mergeCell ref="AG64:AG65"/>
    <mergeCell ref="AH64:AH65"/>
    <mergeCell ref="AI64:AI65"/>
    <mergeCell ref="X64:X65"/>
    <mergeCell ref="Y64:Y65"/>
    <mergeCell ref="Z64:Z65"/>
    <mergeCell ref="AA64:AA65"/>
    <mergeCell ref="AB64:AB65"/>
    <mergeCell ref="AC64:AC65"/>
    <mergeCell ref="AD64:AD65"/>
    <mergeCell ref="AE64:AE65"/>
    <mergeCell ref="AF64:AF65"/>
    <mergeCell ref="N64:N65"/>
    <mergeCell ref="O64:O65"/>
    <mergeCell ref="P64:P65"/>
    <mergeCell ref="Q64:Q68"/>
    <mergeCell ref="R64:R68"/>
    <mergeCell ref="W64:W65"/>
    <mergeCell ref="Q61:Q62"/>
    <mergeCell ref="R61:R62"/>
    <mergeCell ref="E64:F68"/>
    <mergeCell ref="G64:G65"/>
    <mergeCell ref="H64:H65"/>
    <mergeCell ref="I64:I65"/>
    <mergeCell ref="J64:J65"/>
    <mergeCell ref="K64:K65"/>
    <mergeCell ref="L64:L65"/>
    <mergeCell ref="M64:M65"/>
    <mergeCell ref="G66:G68"/>
    <mergeCell ref="H66:H68"/>
    <mergeCell ref="I66:I68"/>
    <mergeCell ref="J66:J68"/>
    <mergeCell ref="K66:K68"/>
    <mergeCell ref="L66:L68"/>
    <mergeCell ref="BC59:BC60"/>
    <mergeCell ref="BD59:BD60"/>
    <mergeCell ref="BE59:BE60"/>
    <mergeCell ref="BF59:BF60"/>
    <mergeCell ref="BG59:BG60"/>
    <mergeCell ref="G61:G62"/>
    <mergeCell ref="H61:H62"/>
    <mergeCell ref="I61:I62"/>
    <mergeCell ref="J61:J62"/>
    <mergeCell ref="K61:K62"/>
    <mergeCell ref="AW59:AW60"/>
    <mergeCell ref="AX59:AX60"/>
    <mergeCell ref="AY59:AY60"/>
    <mergeCell ref="AZ59:AZ60"/>
    <mergeCell ref="BA59:BA60"/>
    <mergeCell ref="BB59:BB60"/>
    <mergeCell ref="AQ59:AQ60"/>
    <mergeCell ref="AR59:AR60"/>
    <mergeCell ref="AS59:AS60"/>
    <mergeCell ref="AT59:AT60"/>
    <mergeCell ref="AU59:AU60"/>
    <mergeCell ref="AV59:AV60"/>
    <mergeCell ref="AK59:AK60"/>
    <mergeCell ref="AL59:AL60"/>
    <mergeCell ref="AM59:AM60"/>
    <mergeCell ref="AN59:AN60"/>
    <mergeCell ref="AO59:AO60"/>
    <mergeCell ref="AP59:AP60"/>
    <mergeCell ref="AE59:AE60"/>
    <mergeCell ref="AF59:AF60"/>
    <mergeCell ref="AG59:AG60"/>
    <mergeCell ref="AH59:AH60"/>
    <mergeCell ref="AI59:AI60"/>
    <mergeCell ref="AJ59:AJ60"/>
    <mergeCell ref="Y59:Y60"/>
    <mergeCell ref="Z59:Z60"/>
    <mergeCell ref="AA59:AA60"/>
    <mergeCell ref="AB59:AB60"/>
    <mergeCell ref="AC59:AC60"/>
    <mergeCell ref="AD59:AD60"/>
    <mergeCell ref="O59:O60"/>
    <mergeCell ref="P59:P60"/>
    <mergeCell ref="Q59:Q60"/>
    <mergeCell ref="R59:R60"/>
    <mergeCell ref="W59:W60"/>
    <mergeCell ref="X59:X60"/>
    <mergeCell ref="BF56:BF58"/>
    <mergeCell ref="BG56:BG58"/>
    <mergeCell ref="G59:G60"/>
    <mergeCell ref="H59:H60"/>
    <mergeCell ref="I59:I60"/>
    <mergeCell ref="J59:J60"/>
    <mergeCell ref="K59:K60"/>
    <mergeCell ref="L59:L60"/>
    <mergeCell ref="M59:M60"/>
    <mergeCell ref="N59:N60"/>
    <mergeCell ref="AZ56:AZ58"/>
    <mergeCell ref="BA56:BA58"/>
    <mergeCell ref="BB56:BB58"/>
    <mergeCell ref="BC56:BC58"/>
    <mergeCell ref="BD56:BD58"/>
    <mergeCell ref="BE56:BE58"/>
    <mergeCell ref="AT56:AT58"/>
    <mergeCell ref="AU56:AU58"/>
    <mergeCell ref="AV56:AV58"/>
    <mergeCell ref="AW56:AW58"/>
    <mergeCell ref="AX56:AX58"/>
    <mergeCell ref="AY56:AY58"/>
    <mergeCell ref="AN56:AN58"/>
    <mergeCell ref="AO56:AO58"/>
    <mergeCell ref="AP56:AP58"/>
    <mergeCell ref="AQ56:AQ58"/>
    <mergeCell ref="AR56:AR58"/>
    <mergeCell ref="AS56:AS58"/>
    <mergeCell ref="AH56:AH58"/>
    <mergeCell ref="AI56:AI58"/>
    <mergeCell ref="AJ56:AJ58"/>
    <mergeCell ref="AK56:AK58"/>
    <mergeCell ref="AL56:AL58"/>
    <mergeCell ref="AM56:AM58"/>
    <mergeCell ref="AB56:AB58"/>
    <mergeCell ref="AC56:AC58"/>
    <mergeCell ref="AD56:AD58"/>
    <mergeCell ref="AE56:AE58"/>
    <mergeCell ref="AF56:AF58"/>
    <mergeCell ref="AG56:AG58"/>
    <mergeCell ref="V56:V57"/>
    <mergeCell ref="W56:W58"/>
    <mergeCell ref="X56:X58"/>
    <mergeCell ref="Y56:Y58"/>
    <mergeCell ref="Z56:Z58"/>
    <mergeCell ref="AA56:AA58"/>
    <mergeCell ref="P56:P58"/>
    <mergeCell ref="Q56:Q58"/>
    <mergeCell ref="R56:R58"/>
    <mergeCell ref="S56:S57"/>
    <mergeCell ref="T56:T57"/>
    <mergeCell ref="U56:U57"/>
    <mergeCell ref="J56:J58"/>
    <mergeCell ref="K56:K58"/>
    <mergeCell ref="L56:L58"/>
    <mergeCell ref="M56:M58"/>
    <mergeCell ref="N56:N58"/>
    <mergeCell ref="O56:O58"/>
    <mergeCell ref="J46:J51"/>
    <mergeCell ref="K46:K51"/>
    <mergeCell ref="L46:L51"/>
    <mergeCell ref="C18:D53"/>
    <mergeCell ref="E19:F24"/>
    <mergeCell ref="G19:G22"/>
    <mergeCell ref="H19:H22"/>
    <mergeCell ref="I19:I22"/>
    <mergeCell ref="J19:J22"/>
    <mergeCell ref="E26:F35"/>
    <mergeCell ref="G40:G41"/>
    <mergeCell ref="H40:H41"/>
    <mergeCell ref="I40:I41"/>
    <mergeCell ref="J40:J41"/>
    <mergeCell ref="K40:K41"/>
    <mergeCell ref="G30:G31"/>
    <mergeCell ref="H30:H31"/>
    <mergeCell ref="I30:I31"/>
    <mergeCell ref="J30:J31"/>
    <mergeCell ref="J26:J27"/>
    <mergeCell ref="E37:F44"/>
    <mergeCell ref="G38:G39"/>
    <mergeCell ref="K26:K27"/>
    <mergeCell ref="K19:K22"/>
    <mergeCell ref="C55:D86"/>
    <mergeCell ref="E56:F62"/>
    <mergeCell ref="G56:G58"/>
    <mergeCell ref="H56:H58"/>
    <mergeCell ref="I56:I58"/>
    <mergeCell ref="E46:F53"/>
    <mergeCell ref="G46:G51"/>
    <mergeCell ref="H46:H51"/>
    <mergeCell ref="I46:I51"/>
    <mergeCell ref="G72:G74"/>
    <mergeCell ref="H72:H74"/>
    <mergeCell ref="I72:I74"/>
    <mergeCell ref="E76:F78"/>
    <mergeCell ref="G76:G78"/>
    <mergeCell ref="H76:H78"/>
    <mergeCell ref="I76:I78"/>
    <mergeCell ref="G83:G86"/>
    <mergeCell ref="H83:H86"/>
    <mergeCell ref="I83:I86"/>
    <mergeCell ref="AW46:AW51"/>
    <mergeCell ref="AX46:AX51"/>
    <mergeCell ref="AY46:AY51"/>
    <mergeCell ref="AZ46:AZ51"/>
    <mergeCell ref="AO46:AO51"/>
    <mergeCell ref="AP46:AP51"/>
    <mergeCell ref="AR52:AR53"/>
    <mergeCell ref="AS52:AS53"/>
    <mergeCell ref="AT52:AT53"/>
    <mergeCell ref="AU52:AU53"/>
    <mergeCell ref="AV52:AV53"/>
    <mergeCell ref="AT46:AT51"/>
    <mergeCell ref="AJ46:AJ51"/>
    <mergeCell ref="AK46:AK51"/>
    <mergeCell ref="AL46:AL51"/>
    <mergeCell ref="AM46:AM51"/>
    <mergeCell ref="AN46:AN51"/>
    <mergeCell ref="BG46:BG51"/>
    <mergeCell ref="G52:G53"/>
    <mergeCell ref="H52:H53"/>
    <mergeCell ref="I52:I53"/>
    <mergeCell ref="J52:J53"/>
    <mergeCell ref="K52:K53"/>
    <mergeCell ref="Q52:Q53"/>
    <mergeCell ref="R52:R53"/>
    <mergeCell ref="AP52:AP53"/>
    <mergeCell ref="AQ52:AQ53"/>
    <mergeCell ref="BA46:BA51"/>
    <mergeCell ref="BB46:BB51"/>
    <mergeCell ref="BC46:BC51"/>
    <mergeCell ref="BD46:BD51"/>
    <mergeCell ref="BE46:BE51"/>
    <mergeCell ref="BF46:BF51"/>
    <mergeCell ref="AU46:AU51"/>
    <mergeCell ref="M46:M51"/>
    <mergeCell ref="AV46:AV51"/>
    <mergeCell ref="N46:N51"/>
    <mergeCell ref="O46:O51"/>
    <mergeCell ref="P46:P51"/>
    <mergeCell ref="Q46:Q51"/>
    <mergeCell ref="R46:R51"/>
    <mergeCell ref="Q42:Q44"/>
    <mergeCell ref="R42:R44"/>
    <mergeCell ref="AV42:AV44"/>
    <mergeCell ref="AC46:AC51"/>
    <mergeCell ref="AD46:AD51"/>
    <mergeCell ref="AE46:AE51"/>
    <mergeCell ref="AF46:AF51"/>
    <mergeCell ref="AG46:AG51"/>
    <mergeCell ref="AH46:AH51"/>
    <mergeCell ref="W46:W51"/>
    <mergeCell ref="X46:X51"/>
    <mergeCell ref="Y46:Y51"/>
    <mergeCell ref="Z46:Z51"/>
    <mergeCell ref="AA46:AA51"/>
    <mergeCell ref="AB46:AB51"/>
    <mergeCell ref="AQ46:AQ51"/>
    <mergeCell ref="AR46:AR51"/>
    <mergeCell ref="AS46:AS51"/>
    <mergeCell ref="AI46:AI51"/>
    <mergeCell ref="O40:O41"/>
    <mergeCell ref="H38:H39"/>
    <mergeCell ref="I38:I39"/>
    <mergeCell ref="J38:J39"/>
    <mergeCell ref="K38:K39"/>
    <mergeCell ref="O38:O39"/>
    <mergeCell ref="L37:L41"/>
    <mergeCell ref="M37:M41"/>
    <mergeCell ref="N37:N41"/>
    <mergeCell ref="R38:R39"/>
    <mergeCell ref="BB37:BB41"/>
    <mergeCell ref="BC37:BC41"/>
    <mergeCell ref="BD37:BD41"/>
    <mergeCell ref="BE37:BE41"/>
    <mergeCell ref="BF37:BF41"/>
    <mergeCell ref="BG37:BG41"/>
    <mergeCell ref="AV37:AV41"/>
    <mergeCell ref="AW37:AW41"/>
    <mergeCell ref="AX37:AX41"/>
    <mergeCell ref="AY37:AY41"/>
    <mergeCell ref="AZ37:AZ41"/>
    <mergeCell ref="BA37:BA41"/>
    <mergeCell ref="AP37:AP41"/>
    <mergeCell ref="AQ37:AQ41"/>
    <mergeCell ref="AR37:AR41"/>
    <mergeCell ref="AS37:AS41"/>
    <mergeCell ref="AT37:AT41"/>
    <mergeCell ref="AU37:AU41"/>
    <mergeCell ref="AJ37:AJ41"/>
    <mergeCell ref="AK37:AK41"/>
    <mergeCell ref="AL37:AL41"/>
    <mergeCell ref="AM37:AM41"/>
    <mergeCell ref="AN37:AN41"/>
    <mergeCell ref="AO37:AO41"/>
    <mergeCell ref="AD37:AD41"/>
    <mergeCell ref="AE37:AE41"/>
    <mergeCell ref="AF37:AF41"/>
    <mergeCell ref="AG37:AG41"/>
    <mergeCell ref="AH37:AH41"/>
    <mergeCell ref="AI37:AI41"/>
    <mergeCell ref="X37:X41"/>
    <mergeCell ref="Y37:Y41"/>
    <mergeCell ref="Z37:Z41"/>
    <mergeCell ref="AA37:AA41"/>
    <mergeCell ref="AB37:AB41"/>
    <mergeCell ref="AC37:AC41"/>
    <mergeCell ref="P37:P41"/>
    <mergeCell ref="Q37:Q41"/>
    <mergeCell ref="W37:W41"/>
    <mergeCell ref="R40:R41"/>
    <mergeCell ref="AU32:AU35"/>
    <mergeCell ref="AV32:AV35"/>
    <mergeCell ref="G33:G35"/>
    <mergeCell ref="H33:H35"/>
    <mergeCell ref="I33:I35"/>
    <mergeCell ref="J33:J35"/>
    <mergeCell ref="K33:K35"/>
    <mergeCell ref="O33:O35"/>
    <mergeCell ref="R33:R35"/>
    <mergeCell ref="AO32:AO35"/>
    <mergeCell ref="AP32:AP35"/>
    <mergeCell ref="AQ32:AQ35"/>
    <mergeCell ref="AR32:AR35"/>
    <mergeCell ref="AS32:AS35"/>
    <mergeCell ref="AT32:AT35"/>
    <mergeCell ref="AI32:AI35"/>
    <mergeCell ref="AJ32:AJ35"/>
    <mergeCell ref="AK32:AK35"/>
    <mergeCell ref="AL32:AL35"/>
    <mergeCell ref="AM32:AM35"/>
    <mergeCell ref="BG30:BG35"/>
    <mergeCell ref="X30:X35"/>
    <mergeCell ref="AW30:AW35"/>
    <mergeCell ref="AX30:AX35"/>
    <mergeCell ref="AY30:AY35"/>
    <mergeCell ref="AZ30:AZ35"/>
    <mergeCell ref="BA30:BA35"/>
    <mergeCell ref="Y32:Y35"/>
    <mergeCell ref="Z32:Z35"/>
    <mergeCell ref="AA32:AA35"/>
    <mergeCell ref="AB32:AB35"/>
    <mergeCell ref="AN32:AN35"/>
    <mergeCell ref="AC32:AC35"/>
    <mergeCell ref="AD32:AD35"/>
    <mergeCell ref="AE32:AE35"/>
    <mergeCell ref="AF32:AF35"/>
    <mergeCell ref="AG32:AG35"/>
    <mergeCell ref="AH32:AH35"/>
    <mergeCell ref="BB30:BB35"/>
    <mergeCell ref="BC30:BC35"/>
    <mergeCell ref="Q26:Q29"/>
    <mergeCell ref="R26:R29"/>
    <mergeCell ref="K30:K31"/>
    <mergeCell ref="L30:L35"/>
    <mergeCell ref="M30:M35"/>
    <mergeCell ref="BD30:BD35"/>
    <mergeCell ref="BE30:BE35"/>
    <mergeCell ref="BF30:BF35"/>
    <mergeCell ref="AK23:AK24"/>
    <mergeCell ref="AL23:AL24"/>
    <mergeCell ref="AM23:AM24"/>
    <mergeCell ref="AN23:AN24"/>
    <mergeCell ref="AO23:AO24"/>
    <mergeCell ref="N30:N35"/>
    <mergeCell ref="O30:O31"/>
    <mergeCell ref="P30:P35"/>
    <mergeCell ref="Q30:Q35"/>
    <mergeCell ref="R30:R31"/>
    <mergeCell ref="W30:W35"/>
    <mergeCell ref="AG23:AG24"/>
    <mergeCell ref="AH23:AH24"/>
    <mergeCell ref="AI23:AI24"/>
    <mergeCell ref="X23:X24"/>
    <mergeCell ref="Y23:Y24"/>
    <mergeCell ref="BG23:BG24"/>
    <mergeCell ref="AV23:AV24"/>
    <mergeCell ref="AW23:AW24"/>
    <mergeCell ref="AX23:AX24"/>
    <mergeCell ref="AY23:AY24"/>
    <mergeCell ref="AZ23:AZ24"/>
    <mergeCell ref="BA23:BA24"/>
    <mergeCell ref="BB23:BB24"/>
    <mergeCell ref="BC23:BC24"/>
    <mergeCell ref="BD23:BD24"/>
    <mergeCell ref="BE23:BE24"/>
    <mergeCell ref="BF23:BF24"/>
    <mergeCell ref="BG19:BG22"/>
    <mergeCell ref="BA19:BA22"/>
    <mergeCell ref="BB19:BB22"/>
    <mergeCell ref="BC19:BC22"/>
    <mergeCell ref="BD19:BD22"/>
    <mergeCell ref="AJ19:AJ22"/>
    <mergeCell ref="AK19:AK22"/>
    <mergeCell ref="AL19:AL22"/>
    <mergeCell ref="AY19:AY22"/>
    <mergeCell ref="AZ19:AZ22"/>
    <mergeCell ref="AS19:AS22"/>
    <mergeCell ref="AT19:AT22"/>
    <mergeCell ref="AU19:AU22"/>
    <mergeCell ref="AV19:AV22"/>
    <mergeCell ref="AW19:AW22"/>
    <mergeCell ref="AX19:AX22"/>
    <mergeCell ref="AM19:AM22"/>
    <mergeCell ref="AN19:AN22"/>
    <mergeCell ref="AO19:AO22"/>
    <mergeCell ref="AP19:AP22"/>
    <mergeCell ref="AQ19:AQ22"/>
    <mergeCell ref="AR19:AR22"/>
    <mergeCell ref="BE19:BE22"/>
    <mergeCell ref="BF19:BF22"/>
    <mergeCell ref="AP23:AP24"/>
    <mergeCell ref="AQ23:AQ24"/>
    <mergeCell ref="AR23:AR24"/>
    <mergeCell ref="AS23:AS24"/>
    <mergeCell ref="AT23:AT24"/>
    <mergeCell ref="AU23:AU24"/>
    <mergeCell ref="Q23:Q24"/>
    <mergeCell ref="R23:R24"/>
    <mergeCell ref="W23:W24"/>
    <mergeCell ref="Z23:Z24"/>
    <mergeCell ref="AA23:AA24"/>
    <mergeCell ref="AD23:AD24"/>
    <mergeCell ref="AE23:AE24"/>
    <mergeCell ref="AF23:AF24"/>
    <mergeCell ref="AB23:AB24"/>
    <mergeCell ref="AC23:AC24"/>
    <mergeCell ref="AJ23:AJ24"/>
    <mergeCell ref="AA19:AA22"/>
    <mergeCell ref="AB19:AB22"/>
    <mergeCell ref="AC19:AC22"/>
    <mergeCell ref="AD19:AD22"/>
    <mergeCell ref="AE19:AE22"/>
    <mergeCell ref="AF19:AF22"/>
    <mergeCell ref="Q19:Q22"/>
    <mergeCell ref="R19:R22"/>
    <mergeCell ref="W19:W22"/>
    <mergeCell ref="X19:X22"/>
    <mergeCell ref="Y19:Y22"/>
    <mergeCell ref="Z19:Z22"/>
    <mergeCell ref="L19:L22"/>
    <mergeCell ref="M19:M22"/>
    <mergeCell ref="N19:N22"/>
    <mergeCell ref="O19:O22"/>
    <mergeCell ref="P19:P22"/>
    <mergeCell ref="G23:G24"/>
    <mergeCell ref="H23:H24"/>
    <mergeCell ref="I23:I24"/>
    <mergeCell ref="J23:J24"/>
    <mergeCell ref="K23:K24"/>
    <mergeCell ref="L23:L24"/>
    <mergeCell ref="M23:M24"/>
    <mergeCell ref="N23:N24"/>
    <mergeCell ref="O23:O24"/>
    <mergeCell ref="P23:P24"/>
    <mergeCell ref="AG19:AG22"/>
    <mergeCell ref="AH19:AH22"/>
    <mergeCell ref="AI19:AI22"/>
    <mergeCell ref="AD15:AD16"/>
    <mergeCell ref="AE15:AE16"/>
    <mergeCell ref="AL15:AL16"/>
    <mergeCell ref="AM15:AM16"/>
    <mergeCell ref="AN15:AN16"/>
    <mergeCell ref="BD13:BD16"/>
    <mergeCell ref="AT15:AT16"/>
    <mergeCell ref="AU15:AU16"/>
    <mergeCell ref="AL13:AL14"/>
    <mergeCell ref="AM13:AM14"/>
    <mergeCell ref="AN13:AN14"/>
    <mergeCell ref="AO13:AO14"/>
    <mergeCell ref="AP13:AP14"/>
    <mergeCell ref="AQ13:AQ14"/>
    <mergeCell ref="AF13:AF14"/>
    <mergeCell ref="AG13:AG14"/>
    <mergeCell ref="AH13:AH14"/>
    <mergeCell ref="AI13:AI14"/>
    <mergeCell ref="AJ13:AJ14"/>
    <mergeCell ref="AK13:AK14"/>
    <mergeCell ref="BE13:BE16"/>
    <mergeCell ref="BF13:BF16"/>
    <mergeCell ref="BG13:BG16"/>
    <mergeCell ref="R14:R16"/>
    <mergeCell ref="AX13:AX16"/>
    <mergeCell ref="AY13:AY16"/>
    <mergeCell ref="AZ13:AZ16"/>
    <mergeCell ref="BA13:BA16"/>
    <mergeCell ref="BB13:BB16"/>
    <mergeCell ref="BC13:BC16"/>
    <mergeCell ref="AR13:AR14"/>
    <mergeCell ref="AS13:AS14"/>
    <mergeCell ref="AT13:AT14"/>
    <mergeCell ref="AU13:AU14"/>
    <mergeCell ref="AV13:AV14"/>
    <mergeCell ref="AW13:AW16"/>
    <mergeCell ref="AR15:AR16"/>
    <mergeCell ref="AS15:AS16"/>
    <mergeCell ref="AP15:AP16"/>
    <mergeCell ref="AQ15:AQ16"/>
    <mergeCell ref="AF15:AF16"/>
    <mergeCell ref="AG15:AG16"/>
    <mergeCell ref="AH15:AH16"/>
    <mergeCell ref="Y15:Y16"/>
    <mergeCell ref="AC15:AC16"/>
    <mergeCell ref="AI15:AI16"/>
    <mergeCell ref="AJ15:AJ16"/>
    <mergeCell ref="AK15:AK16"/>
    <mergeCell ref="AO15:AO16"/>
    <mergeCell ref="N13:N16"/>
    <mergeCell ref="Z13:Z14"/>
    <mergeCell ref="AA13:AA14"/>
    <mergeCell ref="AB13:AB14"/>
    <mergeCell ref="AC13:AC14"/>
    <mergeCell ref="AD13:AD14"/>
    <mergeCell ref="AE13:AE14"/>
    <mergeCell ref="P13:P16"/>
    <mergeCell ref="Q13:Q16"/>
    <mergeCell ref="W13:W16"/>
    <mergeCell ref="X13:X16"/>
    <mergeCell ref="Y13:Y14"/>
    <mergeCell ref="T7:V8"/>
    <mergeCell ref="Y7:AJ7"/>
    <mergeCell ref="AK7:AV7"/>
    <mergeCell ref="AW7:BB7"/>
    <mergeCell ref="BC7:BD8"/>
    <mergeCell ref="BE7:BF8"/>
    <mergeCell ref="AQ8:AR8"/>
    <mergeCell ref="L13:L16"/>
    <mergeCell ref="M13:M16"/>
    <mergeCell ref="AX8:AX9"/>
    <mergeCell ref="AY8:AY9"/>
    <mergeCell ref="AZ8:AZ9"/>
    <mergeCell ref="AS8:AT8"/>
    <mergeCell ref="AU8:AV8"/>
    <mergeCell ref="AW8:AW9"/>
    <mergeCell ref="N7:N9"/>
    <mergeCell ref="O7:O9"/>
    <mergeCell ref="P7:P9"/>
    <mergeCell ref="Q7:Q9"/>
    <mergeCell ref="R7:R9"/>
    <mergeCell ref="S7:S9"/>
    <mergeCell ref="Z15:Z16"/>
    <mergeCell ref="AA15:AA16"/>
    <mergeCell ref="AB15:AB16"/>
    <mergeCell ref="BG7:BG9"/>
    <mergeCell ref="Y8:Z8"/>
    <mergeCell ref="AA8:AB8"/>
    <mergeCell ref="AC8:AD8"/>
    <mergeCell ref="AE8:AF8"/>
    <mergeCell ref="AG8:AH8"/>
    <mergeCell ref="AI8:AJ8"/>
    <mergeCell ref="AK8:AL8"/>
    <mergeCell ref="AM8:AN8"/>
    <mergeCell ref="AO8:AP8"/>
    <mergeCell ref="G14:G16"/>
    <mergeCell ref="H14:H16"/>
    <mergeCell ref="I14:I16"/>
    <mergeCell ref="J14:J16"/>
    <mergeCell ref="K14:K16"/>
    <mergeCell ref="O14:O16"/>
    <mergeCell ref="A1:BC4"/>
    <mergeCell ref="G7:G9"/>
    <mergeCell ref="H7:H9"/>
    <mergeCell ref="I7:I9"/>
    <mergeCell ref="J7:K8"/>
    <mergeCell ref="L7:L9"/>
    <mergeCell ref="M7:M9"/>
    <mergeCell ref="A7:A9"/>
    <mergeCell ref="B7:B9"/>
    <mergeCell ref="C7:C9"/>
    <mergeCell ref="D7:D9"/>
    <mergeCell ref="E7:E9"/>
    <mergeCell ref="F7:F9"/>
    <mergeCell ref="BA8:BA9"/>
    <mergeCell ref="BB8:BB9"/>
    <mergeCell ref="A11:B94"/>
    <mergeCell ref="C12:D16"/>
    <mergeCell ref="E13:F16"/>
  </mergeCells>
  <printOptions horizontalCentered="1" verticalCentered="1"/>
  <pageMargins left="0.70866141732283472" right="0.70866141732283472" top="0.74803149606299213" bottom="0.74803149606299213" header="0.31496062992125984" footer="0.31496062992125984"/>
  <pageSetup paperSize="5" scale="38" orientation="landscape" r:id="rId1"/>
  <rowBreaks count="4" manualBreakCount="4">
    <brk id="29" max="16383" man="1"/>
    <brk id="36" max="16383" man="1"/>
    <brk id="55" max="16383" man="1"/>
    <brk id="63"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J31"/>
  <sheetViews>
    <sheetView topLeftCell="U1" zoomScale="55" zoomScaleNormal="55" workbookViewId="0">
      <selection activeCell="BL4" sqref="BL4"/>
    </sheetView>
  </sheetViews>
  <sheetFormatPr baseColWidth="10" defaultColWidth="11.42578125" defaultRowHeight="14.25" x14ac:dyDescent="0.2"/>
  <cols>
    <col min="1" max="1" width="13.28515625" style="9" customWidth="1"/>
    <col min="2" max="2" width="4" style="9" customWidth="1"/>
    <col min="3" max="3" width="15.5703125" style="9" customWidth="1"/>
    <col min="4" max="4" width="12.42578125" style="9" customWidth="1"/>
    <col min="5" max="5" width="7.42578125" style="9" customWidth="1"/>
    <col min="6" max="6" width="12" style="9" customWidth="1"/>
    <col min="7" max="7" width="14.42578125" style="9" customWidth="1"/>
    <col min="8" max="8" width="8.5703125" style="9" customWidth="1"/>
    <col min="9" max="9" width="15.7109375" style="9" customWidth="1"/>
    <col min="10" max="10" width="13.85546875" style="9" customWidth="1"/>
    <col min="11" max="11" width="36" style="16" customWidth="1"/>
    <col min="12" max="12" width="22.7109375" style="10" customWidth="1"/>
    <col min="13" max="13" width="14.85546875" style="10" customWidth="1"/>
    <col min="14" max="14" width="14.85546875" style="188" customWidth="1"/>
    <col min="15" max="15" width="32.7109375" style="10" customWidth="1"/>
    <col min="16" max="16" width="15" style="10" customWidth="1"/>
    <col min="17" max="17" width="29" style="13" customWidth="1"/>
    <col min="18" max="18" width="13.28515625" style="14" customWidth="1"/>
    <col min="19" max="19" width="25.85546875" style="15" customWidth="1"/>
    <col min="20" max="20" width="31.7109375" style="10" customWidth="1"/>
    <col min="21" max="21" width="33.42578125" style="10" customWidth="1"/>
    <col min="22" max="22" width="43.28515625" style="16" customWidth="1"/>
    <col min="23" max="23" width="26" style="16" customWidth="1"/>
    <col min="24" max="24" width="23.140625" style="191" customWidth="1"/>
    <col min="25" max="25" width="23.85546875" style="191" customWidth="1"/>
    <col min="26" max="26" width="23.42578125" style="16" customWidth="1"/>
    <col min="27" max="27" width="16.85546875" style="16" customWidth="1"/>
    <col min="28" max="28" width="11" style="9" customWidth="1"/>
    <col min="29" max="29" width="11" style="193" customWidth="1"/>
    <col min="30" max="30" width="11" style="9" customWidth="1"/>
    <col min="31" max="31" width="11" style="193" customWidth="1"/>
    <col min="32" max="32" width="11" style="9" customWidth="1"/>
    <col min="33" max="33" width="11" style="193" customWidth="1"/>
    <col min="34" max="34" width="11" style="9" customWidth="1"/>
    <col min="35" max="35" width="11" style="193" customWidth="1"/>
    <col min="36" max="36" width="11" style="9" customWidth="1"/>
    <col min="37" max="37" width="11" style="193" customWidth="1"/>
    <col min="38" max="38" width="11" style="9" customWidth="1"/>
    <col min="39" max="39" width="11" style="193" customWidth="1"/>
    <col min="40" max="40" width="11" style="9" customWidth="1"/>
    <col min="41" max="41" width="11" style="193" customWidth="1"/>
    <col min="42" max="42" width="11" style="9" customWidth="1"/>
    <col min="43" max="43" width="11" style="193" customWidth="1"/>
    <col min="44" max="44" width="11" style="9" customWidth="1"/>
    <col min="45" max="45" width="11" style="193" customWidth="1"/>
    <col min="46" max="46" width="11" style="9" customWidth="1"/>
    <col min="47" max="47" width="11" style="193" customWidth="1"/>
    <col min="48" max="48" width="11" style="9" customWidth="1"/>
    <col min="49" max="49" width="11" style="193" customWidth="1"/>
    <col min="50" max="50" width="11" style="9" customWidth="1"/>
    <col min="51" max="51" width="11" style="193" customWidth="1"/>
    <col min="52" max="57" width="20.7109375" style="9" customWidth="1"/>
    <col min="58" max="58" width="22.7109375" style="17" customWidth="1"/>
    <col min="59" max="59" width="22.7109375" style="194" customWidth="1"/>
    <col min="60" max="60" width="22.7109375" style="18" customWidth="1"/>
    <col min="61" max="61" width="22.7109375" style="195" customWidth="1"/>
    <col min="62" max="62" width="28.7109375" style="19" customWidth="1"/>
    <col min="63" max="63" width="21.42578125" style="9" customWidth="1"/>
    <col min="64" max="64" width="15.7109375" style="9" bestFit="1" customWidth="1"/>
    <col min="65" max="16384" width="11.42578125" style="9"/>
  </cols>
  <sheetData>
    <row r="1" spans="1:62" ht="21" customHeight="1" x14ac:dyDescent="0.25">
      <c r="A1" s="4552" t="s">
        <v>671</v>
      </c>
      <c r="B1" s="4552"/>
      <c r="C1" s="4552"/>
      <c r="D1" s="4552"/>
      <c r="E1" s="4552"/>
      <c r="F1" s="4552"/>
      <c r="G1" s="4552"/>
      <c r="H1" s="4552"/>
      <c r="I1" s="4552"/>
      <c r="J1" s="4552"/>
      <c r="K1" s="4552"/>
      <c r="L1" s="4552"/>
      <c r="M1" s="4552"/>
      <c r="N1" s="4552"/>
      <c r="O1" s="4552"/>
      <c r="P1" s="4552"/>
      <c r="Q1" s="4552"/>
      <c r="R1" s="4552"/>
      <c r="S1" s="4552"/>
      <c r="T1" s="4552"/>
      <c r="U1" s="4552"/>
      <c r="V1" s="4552"/>
      <c r="W1" s="4552"/>
      <c r="X1" s="4552"/>
      <c r="Y1" s="4552"/>
      <c r="Z1" s="4552"/>
      <c r="AA1" s="4552"/>
      <c r="AB1" s="4552"/>
      <c r="AC1" s="4552"/>
      <c r="AD1" s="4552"/>
      <c r="AE1" s="4552"/>
      <c r="AF1" s="4552"/>
      <c r="AG1" s="4552"/>
      <c r="AH1" s="4552"/>
      <c r="AI1" s="4552"/>
      <c r="AJ1" s="4552"/>
      <c r="AK1" s="4552"/>
      <c r="AL1" s="4552"/>
      <c r="AM1" s="4552"/>
      <c r="AN1" s="4552"/>
      <c r="AO1" s="4552"/>
      <c r="AP1" s="4552"/>
      <c r="AQ1" s="4552"/>
      <c r="AR1" s="4552"/>
      <c r="AS1" s="4552"/>
      <c r="AT1" s="4552"/>
      <c r="AU1" s="4552"/>
      <c r="AV1" s="4552"/>
      <c r="AW1" s="4552"/>
      <c r="AX1" s="4552"/>
      <c r="AY1" s="4552"/>
      <c r="AZ1" s="4552"/>
      <c r="BA1" s="4552"/>
      <c r="BB1" s="4552"/>
      <c r="BC1" s="4552"/>
      <c r="BD1" s="4552"/>
      <c r="BE1" s="4552"/>
      <c r="BF1" s="4553"/>
      <c r="BG1" s="186"/>
      <c r="BI1" s="1895" t="s">
        <v>1</v>
      </c>
      <c r="BJ1" s="1895" t="s">
        <v>2</v>
      </c>
    </row>
    <row r="2" spans="1:62" ht="21" customHeight="1" x14ac:dyDescent="0.25">
      <c r="A2" s="4552"/>
      <c r="B2" s="4552"/>
      <c r="C2" s="4552"/>
      <c r="D2" s="4552"/>
      <c r="E2" s="4552"/>
      <c r="F2" s="4552"/>
      <c r="G2" s="4552"/>
      <c r="H2" s="4552"/>
      <c r="I2" s="4552"/>
      <c r="J2" s="4552"/>
      <c r="K2" s="4552"/>
      <c r="L2" s="4552"/>
      <c r="M2" s="4552"/>
      <c r="N2" s="4552"/>
      <c r="O2" s="4552"/>
      <c r="P2" s="4552"/>
      <c r="Q2" s="4552"/>
      <c r="R2" s="4552"/>
      <c r="S2" s="4552"/>
      <c r="T2" s="4552"/>
      <c r="U2" s="4552"/>
      <c r="V2" s="4552"/>
      <c r="W2" s="4552"/>
      <c r="X2" s="4552"/>
      <c r="Y2" s="4552"/>
      <c r="Z2" s="4552"/>
      <c r="AA2" s="4552"/>
      <c r="AB2" s="4552"/>
      <c r="AC2" s="4552"/>
      <c r="AD2" s="4552"/>
      <c r="AE2" s="4552"/>
      <c r="AF2" s="4552"/>
      <c r="AG2" s="4552"/>
      <c r="AH2" s="4552"/>
      <c r="AI2" s="4552"/>
      <c r="AJ2" s="4552"/>
      <c r="AK2" s="4552"/>
      <c r="AL2" s="4552"/>
      <c r="AM2" s="4552"/>
      <c r="AN2" s="4552"/>
      <c r="AO2" s="4552"/>
      <c r="AP2" s="4552"/>
      <c r="AQ2" s="4552"/>
      <c r="AR2" s="4552"/>
      <c r="AS2" s="4552"/>
      <c r="AT2" s="4552"/>
      <c r="AU2" s="4552"/>
      <c r="AV2" s="4552"/>
      <c r="AW2" s="4552"/>
      <c r="AX2" s="4552"/>
      <c r="AY2" s="4552"/>
      <c r="AZ2" s="4552"/>
      <c r="BA2" s="4552"/>
      <c r="BB2" s="4552"/>
      <c r="BC2" s="4552"/>
      <c r="BD2" s="4552"/>
      <c r="BE2" s="4552"/>
      <c r="BF2" s="4553"/>
      <c r="BG2" s="186"/>
      <c r="BI2" s="1896" t="s">
        <v>3</v>
      </c>
      <c r="BJ2" s="1897">
        <v>5</v>
      </c>
    </row>
    <row r="3" spans="1:62" ht="21" customHeight="1" x14ac:dyDescent="0.25">
      <c r="A3" s="4552"/>
      <c r="B3" s="4552"/>
      <c r="C3" s="4552"/>
      <c r="D3" s="4552"/>
      <c r="E3" s="4552"/>
      <c r="F3" s="4552"/>
      <c r="G3" s="4552"/>
      <c r="H3" s="4552"/>
      <c r="I3" s="4552"/>
      <c r="J3" s="4552"/>
      <c r="K3" s="4552"/>
      <c r="L3" s="4552"/>
      <c r="M3" s="4552"/>
      <c r="N3" s="4552"/>
      <c r="O3" s="4552"/>
      <c r="P3" s="4552"/>
      <c r="Q3" s="4552"/>
      <c r="R3" s="4552"/>
      <c r="S3" s="4552"/>
      <c r="T3" s="4552"/>
      <c r="U3" s="4552"/>
      <c r="V3" s="4552"/>
      <c r="W3" s="4552"/>
      <c r="X3" s="4552"/>
      <c r="Y3" s="4552"/>
      <c r="Z3" s="4552"/>
      <c r="AA3" s="4552"/>
      <c r="AB3" s="4552"/>
      <c r="AC3" s="4552"/>
      <c r="AD3" s="4552"/>
      <c r="AE3" s="4552"/>
      <c r="AF3" s="4552"/>
      <c r="AG3" s="4552"/>
      <c r="AH3" s="4552"/>
      <c r="AI3" s="4552"/>
      <c r="AJ3" s="4552"/>
      <c r="AK3" s="4552"/>
      <c r="AL3" s="4552"/>
      <c r="AM3" s="4552"/>
      <c r="AN3" s="4552"/>
      <c r="AO3" s="4552"/>
      <c r="AP3" s="4552"/>
      <c r="AQ3" s="4552"/>
      <c r="AR3" s="4552"/>
      <c r="AS3" s="4552"/>
      <c r="AT3" s="4552"/>
      <c r="AU3" s="4552"/>
      <c r="AV3" s="4552"/>
      <c r="AW3" s="4552"/>
      <c r="AX3" s="4552"/>
      <c r="AY3" s="4552"/>
      <c r="AZ3" s="4552"/>
      <c r="BA3" s="4552"/>
      <c r="BB3" s="4552"/>
      <c r="BC3" s="4552"/>
      <c r="BD3" s="4552"/>
      <c r="BE3" s="4552"/>
      <c r="BF3" s="4553"/>
      <c r="BG3" s="186"/>
      <c r="BI3" s="1895" t="s">
        <v>4</v>
      </c>
      <c r="BJ3" s="1898" t="s">
        <v>335</v>
      </c>
    </row>
    <row r="4" spans="1:62" ht="21" customHeight="1" x14ac:dyDescent="0.2">
      <c r="A4" s="4552"/>
      <c r="B4" s="4552"/>
      <c r="C4" s="4552"/>
      <c r="D4" s="4552"/>
      <c r="E4" s="4552"/>
      <c r="F4" s="4552"/>
      <c r="G4" s="4552"/>
      <c r="H4" s="4552"/>
      <c r="I4" s="4552"/>
      <c r="J4" s="4552"/>
      <c r="K4" s="4552"/>
      <c r="L4" s="4552"/>
      <c r="M4" s="4552"/>
      <c r="N4" s="4552"/>
      <c r="O4" s="4552"/>
      <c r="P4" s="4552"/>
      <c r="Q4" s="4552"/>
      <c r="R4" s="4552"/>
      <c r="S4" s="4552"/>
      <c r="T4" s="4552"/>
      <c r="U4" s="4552"/>
      <c r="V4" s="4552"/>
      <c r="W4" s="4552"/>
      <c r="X4" s="4552"/>
      <c r="Y4" s="4552"/>
      <c r="Z4" s="4552"/>
      <c r="AA4" s="4552"/>
      <c r="AB4" s="4552"/>
      <c r="AC4" s="4552"/>
      <c r="AD4" s="4552"/>
      <c r="AE4" s="4552"/>
      <c r="AF4" s="4552"/>
      <c r="AG4" s="4552"/>
      <c r="AH4" s="4552"/>
      <c r="AI4" s="4552"/>
      <c r="AJ4" s="4552"/>
      <c r="AK4" s="4552"/>
      <c r="AL4" s="4552"/>
      <c r="AM4" s="4552"/>
      <c r="AN4" s="4552"/>
      <c r="AO4" s="4552"/>
      <c r="AP4" s="4552"/>
      <c r="AQ4" s="4552"/>
      <c r="AR4" s="4552"/>
      <c r="AS4" s="4552"/>
      <c r="AT4" s="4552"/>
      <c r="AU4" s="4552"/>
      <c r="AV4" s="4552"/>
      <c r="AW4" s="4552"/>
      <c r="AX4" s="4552"/>
      <c r="AY4" s="4552"/>
      <c r="AZ4" s="4552"/>
      <c r="BA4" s="4552"/>
      <c r="BB4" s="4552"/>
      <c r="BC4" s="4552"/>
      <c r="BD4" s="4552"/>
      <c r="BE4" s="4552"/>
      <c r="BF4" s="4553"/>
      <c r="BG4" s="186"/>
      <c r="BI4" s="679" t="s">
        <v>6</v>
      </c>
      <c r="BJ4" s="1899" t="s">
        <v>7</v>
      </c>
    </row>
    <row r="5" spans="1:62"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2" s="4" customFormat="1"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2" ht="23.25" customHeight="1" x14ac:dyDescent="0.2">
      <c r="A7" s="4554" t="s">
        <v>11</v>
      </c>
      <c r="B7" s="4557" t="s">
        <v>12</v>
      </c>
      <c r="C7" s="4558"/>
      <c r="D7" s="4530" t="s">
        <v>11</v>
      </c>
      <c r="E7" s="4557" t="s">
        <v>13</v>
      </c>
      <c r="F7" s="4558"/>
      <c r="G7" s="4530" t="s">
        <v>11</v>
      </c>
      <c r="H7" s="4557" t="s">
        <v>14</v>
      </c>
      <c r="I7" s="4558"/>
      <c r="J7" s="4530" t="s">
        <v>11</v>
      </c>
      <c r="K7" s="4530" t="s">
        <v>15</v>
      </c>
      <c r="L7" s="4530" t="s">
        <v>16</v>
      </c>
      <c r="M7" s="4557" t="s">
        <v>17</v>
      </c>
      <c r="N7" s="4558"/>
      <c r="O7" s="4530" t="s">
        <v>18</v>
      </c>
      <c r="P7" s="4530" t="s">
        <v>1646</v>
      </c>
      <c r="Q7" s="4530" t="s">
        <v>9</v>
      </c>
      <c r="R7" s="4530" t="s">
        <v>20</v>
      </c>
      <c r="S7" s="4539" t="s">
        <v>21</v>
      </c>
      <c r="T7" s="4530" t="s">
        <v>22</v>
      </c>
      <c r="U7" s="4530" t="s">
        <v>23</v>
      </c>
      <c r="V7" s="4530" t="s">
        <v>24</v>
      </c>
      <c r="W7" s="4533" t="s">
        <v>21</v>
      </c>
      <c r="X7" s="4534"/>
      <c r="Y7" s="4535"/>
      <c r="Z7" s="4530" t="s">
        <v>294</v>
      </c>
      <c r="AA7" s="4530" t="s">
        <v>25</v>
      </c>
      <c r="AB7" s="4567" t="s">
        <v>26</v>
      </c>
      <c r="AC7" s="4568"/>
      <c r="AD7" s="4568"/>
      <c r="AE7" s="4568"/>
      <c r="AF7" s="4568"/>
      <c r="AG7" s="4568"/>
      <c r="AH7" s="4568"/>
      <c r="AI7" s="4568"/>
      <c r="AJ7" s="4568"/>
      <c r="AK7" s="4568"/>
      <c r="AL7" s="4568"/>
      <c r="AM7" s="4569"/>
      <c r="AN7" s="4570" t="s">
        <v>27</v>
      </c>
      <c r="AO7" s="4571"/>
      <c r="AP7" s="4571"/>
      <c r="AQ7" s="4571"/>
      <c r="AR7" s="4571"/>
      <c r="AS7" s="4571"/>
      <c r="AT7" s="4571"/>
      <c r="AU7" s="4571"/>
      <c r="AV7" s="4571"/>
      <c r="AW7" s="4571"/>
      <c r="AX7" s="4571"/>
      <c r="AY7" s="4572"/>
      <c r="AZ7" s="3009" t="s">
        <v>28</v>
      </c>
      <c r="BA7" s="3010"/>
      <c r="BB7" s="3010"/>
      <c r="BC7" s="3010"/>
      <c r="BD7" s="3010"/>
      <c r="BE7" s="3011"/>
      <c r="BF7" s="4561" t="s">
        <v>29</v>
      </c>
      <c r="BG7" s="4562"/>
      <c r="BH7" s="4561" t="s">
        <v>30</v>
      </c>
      <c r="BI7" s="4562"/>
      <c r="BJ7" s="4573" t="s">
        <v>31</v>
      </c>
    </row>
    <row r="8" spans="1:62" ht="56.25" customHeight="1" x14ac:dyDescent="0.2">
      <c r="A8" s="4555"/>
      <c r="B8" s="4559"/>
      <c r="C8" s="4560"/>
      <c r="D8" s="4531"/>
      <c r="E8" s="4559"/>
      <c r="F8" s="4560"/>
      <c r="G8" s="4531"/>
      <c r="H8" s="4559"/>
      <c r="I8" s="4560"/>
      <c r="J8" s="4531"/>
      <c r="K8" s="4531"/>
      <c r="L8" s="4531"/>
      <c r="M8" s="4559"/>
      <c r="N8" s="4560"/>
      <c r="O8" s="4531"/>
      <c r="P8" s="4531"/>
      <c r="Q8" s="4531"/>
      <c r="R8" s="4531"/>
      <c r="S8" s="4540"/>
      <c r="T8" s="4531"/>
      <c r="U8" s="4531"/>
      <c r="V8" s="4531"/>
      <c r="W8" s="4536"/>
      <c r="X8" s="4537"/>
      <c r="Y8" s="4538"/>
      <c r="Z8" s="4531"/>
      <c r="AA8" s="4531"/>
      <c r="AB8" s="4528" t="s">
        <v>32</v>
      </c>
      <c r="AC8" s="4529"/>
      <c r="AD8" s="4565" t="s">
        <v>33</v>
      </c>
      <c r="AE8" s="4566"/>
      <c r="AF8" s="4528" t="s">
        <v>34</v>
      </c>
      <c r="AG8" s="4529"/>
      <c r="AH8" s="4528" t="s">
        <v>35</v>
      </c>
      <c r="AI8" s="4529"/>
      <c r="AJ8" s="4528" t="s">
        <v>36</v>
      </c>
      <c r="AK8" s="4529"/>
      <c r="AL8" s="4528" t="s">
        <v>37</v>
      </c>
      <c r="AM8" s="4529"/>
      <c r="AN8" s="4528" t="s">
        <v>38</v>
      </c>
      <c r="AO8" s="4529"/>
      <c r="AP8" s="4528" t="s">
        <v>39</v>
      </c>
      <c r="AQ8" s="4529"/>
      <c r="AR8" s="4528" t="s">
        <v>40</v>
      </c>
      <c r="AS8" s="4529"/>
      <c r="AT8" s="4528" t="s">
        <v>41</v>
      </c>
      <c r="AU8" s="4529"/>
      <c r="AV8" s="4528" t="s">
        <v>42</v>
      </c>
      <c r="AW8" s="4529"/>
      <c r="AX8" s="4528" t="s">
        <v>43</v>
      </c>
      <c r="AY8" s="4529"/>
      <c r="AZ8" s="2726" t="s">
        <v>44</v>
      </c>
      <c r="BA8" s="2727" t="s">
        <v>45</v>
      </c>
      <c r="BB8" s="2726" t="s">
        <v>46</v>
      </c>
      <c r="BC8" s="2728" t="s">
        <v>47</v>
      </c>
      <c r="BD8" s="2726" t="s">
        <v>48</v>
      </c>
      <c r="BE8" s="2721" t="s">
        <v>49</v>
      </c>
      <c r="BF8" s="4563"/>
      <c r="BG8" s="4564"/>
      <c r="BH8" s="4563"/>
      <c r="BI8" s="4564"/>
      <c r="BJ8" s="4574"/>
    </row>
    <row r="9" spans="1:62" ht="28.5" customHeight="1" x14ac:dyDescent="0.2">
      <c r="A9" s="4556"/>
      <c r="B9" s="4536"/>
      <c r="C9" s="4538"/>
      <c r="D9" s="4532"/>
      <c r="E9" s="4536"/>
      <c r="F9" s="4538"/>
      <c r="G9" s="4532"/>
      <c r="H9" s="4536"/>
      <c r="I9" s="4538"/>
      <c r="J9" s="4532"/>
      <c r="K9" s="4532"/>
      <c r="L9" s="4532"/>
      <c r="M9" s="89" t="s">
        <v>121</v>
      </c>
      <c r="N9" s="90" t="s">
        <v>51</v>
      </c>
      <c r="O9" s="4532"/>
      <c r="P9" s="4532"/>
      <c r="Q9" s="4532"/>
      <c r="R9" s="4532"/>
      <c r="S9" s="4541"/>
      <c r="T9" s="4532"/>
      <c r="U9" s="4532"/>
      <c r="V9" s="4532"/>
      <c r="W9" s="2091" t="s">
        <v>52</v>
      </c>
      <c r="X9" s="86" t="s">
        <v>53</v>
      </c>
      <c r="Y9" s="86" t="s">
        <v>54</v>
      </c>
      <c r="Z9" s="4532"/>
      <c r="AA9" s="4532"/>
      <c r="AB9" s="87" t="s">
        <v>121</v>
      </c>
      <c r="AC9" s="88" t="s">
        <v>51</v>
      </c>
      <c r="AD9" s="87" t="s">
        <v>121</v>
      </c>
      <c r="AE9" s="88" t="s">
        <v>51</v>
      </c>
      <c r="AF9" s="87" t="s">
        <v>121</v>
      </c>
      <c r="AG9" s="88" t="s">
        <v>51</v>
      </c>
      <c r="AH9" s="87" t="s">
        <v>121</v>
      </c>
      <c r="AI9" s="88" t="s">
        <v>51</v>
      </c>
      <c r="AJ9" s="87" t="s">
        <v>121</v>
      </c>
      <c r="AK9" s="88" t="s">
        <v>51</v>
      </c>
      <c r="AL9" s="87" t="s">
        <v>121</v>
      </c>
      <c r="AM9" s="88" t="s">
        <v>51</v>
      </c>
      <c r="AN9" s="87" t="s">
        <v>121</v>
      </c>
      <c r="AO9" s="88" t="s">
        <v>51</v>
      </c>
      <c r="AP9" s="87" t="s">
        <v>121</v>
      </c>
      <c r="AQ9" s="88" t="s">
        <v>51</v>
      </c>
      <c r="AR9" s="87" t="s">
        <v>121</v>
      </c>
      <c r="AS9" s="88" t="s">
        <v>51</v>
      </c>
      <c r="AT9" s="87" t="s">
        <v>121</v>
      </c>
      <c r="AU9" s="88" t="s">
        <v>51</v>
      </c>
      <c r="AV9" s="87" t="s">
        <v>121</v>
      </c>
      <c r="AW9" s="88" t="s">
        <v>51</v>
      </c>
      <c r="AX9" s="87" t="s">
        <v>121</v>
      </c>
      <c r="AY9" s="88" t="s">
        <v>51</v>
      </c>
      <c r="AZ9" s="2726"/>
      <c r="BA9" s="2727"/>
      <c r="BB9" s="2726"/>
      <c r="BC9" s="4069"/>
      <c r="BD9" s="2726"/>
      <c r="BE9" s="2722"/>
      <c r="BF9" s="115" t="s">
        <v>50</v>
      </c>
      <c r="BG9" s="119" t="s">
        <v>51</v>
      </c>
      <c r="BH9" s="115" t="s">
        <v>50</v>
      </c>
      <c r="BI9" s="119" t="s">
        <v>51</v>
      </c>
      <c r="BJ9" s="4575"/>
    </row>
    <row r="10" spans="1:62" ht="29.25" customHeight="1" x14ac:dyDescent="0.2">
      <c r="A10" s="113" t="s">
        <v>297</v>
      </c>
      <c r="B10" s="60"/>
      <c r="C10" s="60" t="s">
        <v>1647</v>
      </c>
      <c r="D10" s="60"/>
      <c r="E10" s="60"/>
      <c r="F10" s="60"/>
      <c r="G10" s="60"/>
      <c r="H10" s="60"/>
      <c r="I10" s="60"/>
      <c r="J10" s="60"/>
      <c r="K10" s="61"/>
      <c r="L10" s="60"/>
      <c r="M10" s="60"/>
      <c r="N10" s="156"/>
      <c r="O10" s="60"/>
      <c r="P10" s="60"/>
      <c r="Q10" s="60"/>
      <c r="R10" s="60"/>
      <c r="S10" s="60"/>
      <c r="T10" s="60"/>
      <c r="U10" s="60"/>
      <c r="V10" s="60"/>
      <c r="W10" s="60"/>
      <c r="X10" s="156"/>
      <c r="Y10" s="156"/>
      <c r="Z10" s="60"/>
      <c r="AA10" s="60"/>
      <c r="AB10" s="60"/>
      <c r="AC10" s="156"/>
      <c r="AD10" s="60"/>
      <c r="AE10" s="156"/>
      <c r="AF10" s="60"/>
      <c r="AG10" s="156"/>
      <c r="AH10" s="60"/>
      <c r="AI10" s="156"/>
      <c r="AJ10" s="60"/>
      <c r="AK10" s="156"/>
      <c r="AL10" s="60"/>
      <c r="AM10" s="156"/>
      <c r="AN10" s="60"/>
      <c r="AO10" s="156"/>
      <c r="AP10" s="60"/>
      <c r="AQ10" s="156"/>
      <c r="AR10" s="60"/>
      <c r="AS10" s="156"/>
      <c r="AT10" s="60"/>
      <c r="AU10" s="156"/>
      <c r="AV10" s="60"/>
      <c r="AW10" s="156"/>
      <c r="AX10" s="60"/>
      <c r="AY10" s="156"/>
      <c r="AZ10" s="60"/>
      <c r="BA10" s="60"/>
      <c r="BB10" s="60"/>
      <c r="BC10" s="60"/>
      <c r="BD10" s="60"/>
      <c r="BE10" s="60"/>
      <c r="BF10" s="60"/>
      <c r="BG10" s="156"/>
      <c r="BH10" s="60"/>
      <c r="BI10" s="156"/>
      <c r="BJ10" s="65"/>
    </row>
    <row r="11" spans="1:62" ht="29.25" customHeight="1" x14ac:dyDescent="0.2">
      <c r="A11" s="4510" t="s">
        <v>197</v>
      </c>
      <c r="B11" s="4511"/>
      <c r="C11" s="4511"/>
      <c r="D11" s="69" t="s">
        <v>1648</v>
      </c>
      <c r="E11" s="3057" t="s">
        <v>1649</v>
      </c>
      <c r="F11" s="3057"/>
      <c r="G11" s="3057"/>
      <c r="H11" s="3057"/>
      <c r="I11" s="3057"/>
      <c r="J11" s="3057"/>
      <c r="K11" s="3057"/>
      <c r="L11" s="3057"/>
      <c r="M11" s="47"/>
      <c r="N11" s="157"/>
      <c r="O11" s="47"/>
      <c r="P11" s="47"/>
      <c r="Q11" s="47"/>
      <c r="R11" s="47"/>
      <c r="S11" s="47"/>
      <c r="T11" s="47"/>
      <c r="U11" s="47"/>
      <c r="V11" s="47"/>
      <c r="W11" s="47"/>
      <c r="X11" s="157"/>
      <c r="Y11" s="157"/>
      <c r="Z11" s="47"/>
      <c r="AA11" s="47"/>
      <c r="AB11" s="47"/>
      <c r="AC11" s="157"/>
      <c r="AD11" s="47"/>
      <c r="AE11" s="157"/>
      <c r="AF11" s="47"/>
      <c r="AG11" s="157"/>
      <c r="AH11" s="47"/>
      <c r="AI11" s="157"/>
      <c r="AJ11" s="47"/>
      <c r="AK11" s="157"/>
      <c r="AL11" s="47"/>
      <c r="AM11" s="157"/>
      <c r="AN11" s="47"/>
      <c r="AO11" s="157"/>
      <c r="AP11" s="47"/>
      <c r="AQ11" s="157"/>
      <c r="AR11" s="47"/>
      <c r="AS11" s="157"/>
      <c r="AT11" s="47"/>
      <c r="AU11" s="157"/>
      <c r="AV11" s="47"/>
      <c r="AW11" s="157"/>
      <c r="AX11" s="47"/>
      <c r="AY11" s="157"/>
      <c r="AZ11" s="47"/>
      <c r="BA11" s="47"/>
      <c r="BB11" s="47"/>
      <c r="BC11" s="47"/>
      <c r="BD11" s="47"/>
      <c r="BE11" s="47"/>
      <c r="BF11" s="47"/>
      <c r="BG11" s="157"/>
      <c r="BH11" s="47"/>
      <c r="BI11" s="157"/>
      <c r="BJ11" s="103"/>
    </row>
    <row r="12" spans="1:62" ht="29.25" customHeight="1" x14ac:dyDescent="0.2">
      <c r="A12" s="4512"/>
      <c r="B12" s="4513"/>
      <c r="C12" s="4513"/>
      <c r="D12" s="4516" t="s">
        <v>197</v>
      </c>
      <c r="E12" s="4511"/>
      <c r="F12" s="4517"/>
      <c r="G12" s="68">
        <v>83</v>
      </c>
      <c r="H12" s="66"/>
      <c r="I12" s="66" t="s">
        <v>1650</v>
      </c>
      <c r="J12" s="66"/>
      <c r="K12" s="67"/>
      <c r="L12" s="66"/>
      <c r="M12" s="66"/>
      <c r="N12" s="158"/>
      <c r="O12" s="66"/>
      <c r="P12" s="66"/>
      <c r="Q12" s="66"/>
      <c r="R12" s="66"/>
      <c r="S12" s="66"/>
      <c r="T12" s="66"/>
      <c r="U12" s="66"/>
      <c r="V12" s="66"/>
      <c r="W12" s="66"/>
      <c r="X12" s="158"/>
      <c r="Y12" s="158"/>
      <c r="Z12" s="66"/>
      <c r="AA12" s="66"/>
      <c r="AB12" s="66"/>
      <c r="AC12" s="158"/>
      <c r="AD12" s="66"/>
      <c r="AE12" s="158"/>
      <c r="AF12" s="66"/>
      <c r="AG12" s="158"/>
      <c r="AH12" s="66"/>
      <c r="AI12" s="158"/>
      <c r="AJ12" s="66"/>
      <c r="AK12" s="158"/>
      <c r="AL12" s="66"/>
      <c r="AM12" s="158"/>
      <c r="AN12" s="66"/>
      <c r="AO12" s="158"/>
      <c r="AP12" s="66"/>
      <c r="AQ12" s="158"/>
      <c r="AR12" s="66"/>
      <c r="AS12" s="158"/>
      <c r="AT12" s="66"/>
      <c r="AU12" s="158"/>
      <c r="AV12" s="66"/>
      <c r="AW12" s="158"/>
      <c r="AX12" s="66"/>
      <c r="AY12" s="158"/>
      <c r="AZ12" s="66"/>
      <c r="BA12" s="66"/>
      <c r="BB12" s="66"/>
      <c r="BC12" s="66"/>
      <c r="BD12" s="66"/>
      <c r="BE12" s="66"/>
      <c r="BF12" s="66"/>
      <c r="BG12" s="158"/>
      <c r="BH12" s="66"/>
      <c r="BI12" s="158"/>
      <c r="BJ12" s="114"/>
    </row>
    <row r="13" spans="1:62" ht="66.75" customHeight="1" x14ac:dyDescent="0.2">
      <c r="A13" s="4512"/>
      <c r="B13" s="4513"/>
      <c r="C13" s="4513"/>
      <c r="D13" s="4518"/>
      <c r="E13" s="4513"/>
      <c r="F13" s="4519"/>
      <c r="G13" s="4458" t="s">
        <v>197</v>
      </c>
      <c r="H13" s="4522"/>
      <c r="I13" s="4523"/>
      <c r="J13" s="4458">
        <v>243</v>
      </c>
      <c r="K13" s="4444" t="s">
        <v>1651</v>
      </c>
      <c r="L13" s="4502" t="s">
        <v>19</v>
      </c>
      <c r="M13" s="4458">
        <v>2</v>
      </c>
      <c r="N13" s="2882">
        <v>2</v>
      </c>
      <c r="O13" s="4502" t="s">
        <v>1652</v>
      </c>
      <c r="P13" s="4499">
        <v>130</v>
      </c>
      <c r="Q13" s="2605" t="s">
        <v>1653</v>
      </c>
      <c r="R13" s="4505">
        <v>100</v>
      </c>
      <c r="S13" s="4542">
        <v>48000000</v>
      </c>
      <c r="T13" s="4545" t="s">
        <v>1654</v>
      </c>
      <c r="U13" s="4548" t="s">
        <v>1655</v>
      </c>
      <c r="V13" s="34" t="s">
        <v>1656</v>
      </c>
      <c r="W13" s="4499">
        <v>48000000</v>
      </c>
      <c r="X13" s="4549">
        <v>44800000</v>
      </c>
      <c r="Y13" s="4549">
        <v>44800000</v>
      </c>
      <c r="Z13" s="4499">
        <v>20</v>
      </c>
      <c r="AA13" s="4502" t="s">
        <v>165</v>
      </c>
      <c r="AB13" s="4485">
        <v>64149</v>
      </c>
      <c r="AC13" s="4350">
        <f>AB13</f>
        <v>64149</v>
      </c>
      <c r="AD13" s="4485">
        <v>72224</v>
      </c>
      <c r="AE13" s="4350">
        <f>AD13</f>
        <v>72224</v>
      </c>
      <c r="AF13" s="4485">
        <v>27477</v>
      </c>
      <c r="AG13" s="4350">
        <f>AF13</f>
        <v>27477</v>
      </c>
      <c r="AH13" s="4485">
        <v>86843</v>
      </c>
      <c r="AI13" s="4350">
        <f>AH13</f>
        <v>86843</v>
      </c>
      <c r="AJ13" s="4485">
        <v>236429</v>
      </c>
      <c r="AK13" s="4350">
        <f>AJ13</f>
        <v>236429</v>
      </c>
      <c r="AL13" s="4485">
        <v>81384</v>
      </c>
      <c r="AM13" s="4350">
        <f>AL13</f>
        <v>81384</v>
      </c>
      <c r="AN13" s="4485">
        <v>13208</v>
      </c>
      <c r="AO13" s="4350">
        <f>AN13</f>
        <v>13208</v>
      </c>
      <c r="AP13" s="4485">
        <v>1817</v>
      </c>
      <c r="AQ13" s="4350">
        <f>AP13</f>
        <v>1817</v>
      </c>
      <c r="AR13" s="4485"/>
      <c r="AS13" s="4350"/>
      <c r="AT13" s="4485"/>
      <c r="AU13" s="4350"/>
      <c r="AV13" s="4485">
        <v>16897</v>
      </c>
      <c r="AW13" s="4350">
        <f>AV13</f>
        <v>16897</v>
      </c>
      <c r="AX13" s="4485">
        <v>81384</v>
      </c>
      <c r="AY13" s="4350">
        <f>AX13</f>
        <v>81384</v>
      </c>
      <c r="AZ13" s="4485">
        <v>4</v>
      </c>
      <c r="BA13" s="4493">
        <v>44800000</v>
      </c>
      <c r="BB13" s="4493">
        <v>44800000</v>
      </c>
      <c r="BC13" s="4496">
        <f>BA13/BB13</f>
        <v>1</v>
      </c>
      <c r="BD13" s="4485" t="s">
        <v>1657</v>
      </c>
      <c r="BE13" s="4485" t="s">
        <v>1658</v>
      </c>
      <c r="BF13" s="4488">
        <v>42371</v>
      </c>
      <c r="BG13" s="4439">
        <v>42417</v>
      </c>
      <c r="BH13" s="4488" t="s">
        <v>1659</v>
      </c>
      <c r="BI13" s="4439">
        <v>42566</v>
      </c>
      <c r="BJ13" s="4467" t="s">
        <v>1660</v>
      </c>
    </row>
    <row r="14" spans="1:62" ht="77.25" customHeight="1" x14ac:dyDescent="0.2">
      <c r="A14" s="4512"/>
      <c r="B14" s="4513"/>
      <c r="C14" s="4513"/>
      <c r="D14" s="4518"/>
      <c r="E14" s="4513"/>
      <c r="F14" s="4519"/>
      <c r="G14" s="4459"/>
      <c r="H14" s="4524"/>
      <c r="I14" s="4525"/>
      <c r="J14" s="4459"/>
      <c r="K14" s="4445"/>
      <c r="L14" s="4503"/>
      <c r="M14" s="4459"/>
      <c r="N14" s="2883"/>
      <c r="O14" s="4503"/>
      <c r="P14" s="4500"/>
      <c r="Q14" s="2987"/>
      <c r="R14" s="4506"/>
      <c r="S14" s="4543"/>
      <c r="T14" s="4546"/>
      <c r="U14" s="4548"/>
      <c r="V14" s="35" t="s">
        <v>1661</v>
      </c>
      <c r="W14" s="4500"/>
      <c r="X14" s="4550"/>
      <c r="Y14" s="4550"/>
      <c r="Z14" s="4500"/>
      <c r="AA14" s="4503"/>
      <c r="AB14" s="4486"/>
      <c r="AC14" s="4492"/>
      <c r="AD14" s="4486"/>
      <c r="AE14" s="4492"/>
      <c r="AF14" s="4486"/>
      <c r="AG14" s="4492"/>
      <c r="AH14" s="4486"/>
      <c r="AI14" s="4492"/>
      <c r="AJ14" s="4486"/>
      <c r="AK14" s="4492"/>
      <c r="AL14" s="4486"/>
      <c r="AM14" s="4492"/>
      <c r="AN14" s="4486"/>
      <c r="AO14" s="4492"/>
      <c r="AP14" s="4486"/>
      <c r="AQ14" s="4492"/>
      <c r="AR14" s="4486"/>
      <c r="AS14" s="4492"/>
      <c r="AT14" s="4486"/>
      <c r="AU14" s="4492"/>
      <c r="AV14" s="4486"/>
      <c r="AW14" s="4492"/>
      <c r="AX14" s="4486"/>
      <c r="AY14" s="4492"/>
      <c r="AZ14" s="4486"/>
      <c r="BA14" s="4494"/>
      <c r="BB14" s="4494"/>
      <c r="BC14" s="4497"/>
      <c r="BD14" s="4486"/>
      <c r="BE14" s="4486"/>
      <c r="BF14" s="4489"/>
      <c r="BG14" s="4440"/>
      <c r="BH14" s="4489"/>
      <c r="BI14" s="4440"/>
      <c r="BJ14" s="4468"/>
    </row>
    <row r="15" spans="1:62" s="10" customFormat="1" ht="78.75" customHeight="1" x14ac:dyDescent="0.2">
      <c r="A15" s="4512"/>
      <c r="B15" s="4513"/>
      <c r="C15" s="4513"/>
      <c r="D15" s="4518"/>
      <c r="E15" s="4513"/>
      <c r="F15" s="4519"/>
      <c r="G15" s="4459"/>
      <c r="H15" s="4524"/>
      <c r="I15" s="4525"/>
      <c r="J15" s="4459"/>
      <c r="K15" s="4445"/>
      <c r="L15" s="4503"/>
      <c r="M15" s="4459"/>
      <c r="N15" s="2883"/>
      <c r="O15" s="4504"/>
      <c r="P15" s="4501"/>
      <c r="Q15" s="2988"/>
      <c r="R15" s="4507"/>
      <c r="S15" s="4544"/>
      <c r="T15" s="4547"/>
      <c r="U15" s="2492" t="s">
        <v>1662</v>
      </c>
      <c r="V15" s="33" t="s">
        <v>1663</v>
      </c>
      <c r="W15" s="4501"/>
      <c r="X15" s="4551"/>
      <c r="Y15" s="4551"/>
      <c r="Z15" s="4501"/>
      <c r="AA15" s="4504"/>
      <c r="AB15" s="4487"/>
      <c r="AC15" s="4351"/>
      <c r="AD15" s="4487"/>
      <c r="AE15" s="4351"/>
      <c r="AF15" s="4487"/>
      <c r="AG15" s="4351"/>
      <c r="AH15" s="4487"/>
      <c r="AI15" s="4351"/>
      <c r="AJ15" s="4487"/>
      <c r="AK15" s="4351"/>
      <c r="AL15" s="4487"/>
      <c r="AM15" s="4351"/>
      <c r="AN15" s="4487"/>
      <c r="AO15" s="4351"/>
      <c r="AP15" s="4487"/>
      <c r="AQ15" s="4351"/>
      <c r="AR15" s="4487"/>
      <c r="AS15" s="4351"/>
      <c r="AT15" s="4487"/>
      <c r="AU15" s="4351"/>
      <c r="AV15" s="4487"/>
      <c r="AW15" s="4351"/>
      <c r="AX15" s="4487"/>
      <c r="AY15" s="4351"/>
      <c r="AZ15" s="4487"/>
      <c r="BA15" s="4495"/>
      <c r="BB15" s="4495"/>
      <c r="BC15" s="4498"/>
      <c r="BD15" s="4487"/>
      <c r="BE15" s="4487"/>
      <c r="BF15" s="4490"/>
      <c r="BG15" s="4491"/>
      <c r="BH15" s="4490"/>
      <c r="BI15" s="4491"/>
      <c r="BJ15" s="4469"/>
    </row>
    <row r="16" spans="1:62" s="10" customFormat="1" ht="15" customHeight="1" x14ac:dyDescent="0.2">
      <c r="A16" s="4512"/>
      <c r="B16" s="4513"/>
      <c r="C16" s="4513"/>
      <c r="D16" s="4518"/>
      <c r="E16" s="4513"/>
      <c r="F16" s="4519"/>
      <c r="G16" s="4459"/>
      <c r="H16" s="4524"/>
      <c r="I16" s="4525"/>
      <c r="J16" s="4459"/>
      <c r="K16" s="4445"/>
      <c r="L16" s="4503"/>
      <c r="M16" s="4459"/>
      <c r="N16" s="2883"/>
      <c r="O16" s="4470" t="s">
        <v>1664</v>
      </c>
      <c r="P16" s="4473">
        <v>131</v>
      </c>
      <c r="Q16" s="4444" t="s">
        <v>1665</v>
      </c>
      <c r="R16" s="4476">
        <v>100</v>
      </c>
      <c r="S16" s="4479">
        <v>52000000</v>
      </c>
      <c r="T16" s="4444" t="s">
        <v>1666</v>
      </c>
      <c r="U16" s="4444" t="s">
        <v>1667</v>
      </c>
      <c r="V16" s="4483" t="s">
        <v>1668</v>
      </c>
      <c r="W16" s="4484">
        <v>20000000</v>
      </c>
      <c r="X16" s="4203">
        <f>8750000+11200000</f>
        <v>19950000</v>
      </c>
      <c r="Y16" s="4203">
        <f>8750000+11200000</f>
        <v>19950000</v>
      </c>
      <c r="Z16" s="4499">
        <v>20</v>
      </c>
      <c r="AA16" s="4502" t="s">
        <v>165</v>
      </c>
      <c r="AB16" s="4461">
        <v>64149</v>
      </c>
      <c r="AC16" s="2882">
        <v>64149</v>
      </c>
      <c r="AD16" s="4461">
        <v>72224</v>
      </c>
      <c r="AE16" s="2882">
        <v>72224</v>
      </c>
      <c r="AF16" s="4461">
        <v>27477</v>
      </c>
      <c r="AG16" s="2882">
        <v>27477</v>
      </c>
      <c r="AH16" s="4461">
        <v>86843</v>
      </c>
      <c r="AI16" s="2882">
        <v>86843</v>
      </c>
      <c r="AJ16" s="4464">
        <v>236429</v>
      </c>
      <c r="AK16" s="2898">
        <v>236429</v>
      </c>
      <c r="AL16" s="4461">
        <v>81384</v>
      </c>
      <c r="AM16" s="2882">
        <v>81384</v>
      </c>
      <c r="AN16" s="4458">
        <v>13208</v>
      </c>
      <c r="AO16" s="2882">
        <v>13208</v>
      </c>
      <c r="AP16" s="4461">
        <v>1817</v>
      </c>
      <c r="AQ16" s="2882">
        <v>1817</v>
      </c>
      <c r="AR16" s="4461"/>
      <c r="AS16" s="2882"/>
      <c r="AT16" s="4464"/>
      <c r="AU16" s="2898"/>
      <c r="AV16" s="4461">
        <v>16897</v>
      </c>
      <c r="AW16" s="2882">
        <v>16897</v>
      </c>
      <c r="AX16" s="4461">
        <v>81384</v>
      </c>
      <c r="AY16" s="2882">
        <v>81384</v>
      </c>
      <c r="AZ16" s="4458">
        <v>4</v>
      </c>
      <c r="BA16" s="4455">
        <v>38150000</v>
      </c>
      <c r="BB16" s="4455">
        <v>38150000</v>
      </c>
      <c r="BC16" s="4458">
        <v>1</v>
      </c>
      <c r="BD16" s="4458" t="s">
        <v>1657</v>
      </c>
      <c r="BE16" s="4458" t="s">
        <v>1658</v>
      </c>
      <c r="BF16" s="4437">
        <v>42598</v>
      </c>
      <c r="BG16" s="4439">
        <v>42621</v>
      </c>
      <c r="BH16" s="4437">
        <v>42735</v>
      </c>
      <c r="BI16" s="4439">
        <v>42728</v>
      </c>
      <c r="BJ16" s="4442" t="s">
        <v>1660</v>
      </c>
    </row>
    <row r="17" spans="1:62" s="10" customFormat="1" ht="125.25" customHeight="1" x14ac:dyDescent="0.2">
      <c r="A17" s="4512"/>
      <c r="B17" s="4513"/>
      <c r="C17" s="4513"/>
      <c r="D17" s="4518"/>
      <c r="E17" s="4513"/>
      <c r="F17" s="4519"/>
      <c r="G17" s="4459"/>
      <c r="H17" s="4524"/>
      <c r="I17" s="4525"/>
      <c r="J17" s="4459"/>
      <c r="K17" s="4445"/>
      <c r="L17" s="4503"/>
      <c r="M17" s="4459"/>
      <c r="N17" s="2883"/>
      <c r="O17" s="4471"/>
      <c r="P17" s="4474"/>
      <c r="Q17" s="4445"/>
      <c r="R17" s="4477"/>
      <c r="S17" s="4480"/>
      <c r="T17" s="4445"/>
      <c r="U17" s="4482"/>
      <c r="V17" s="4483"/>
      <c r="W17" s="4484"/>
      <c r="X17" s="4203"/>
      <c r="Y17" s="4203"/>
      <c r="Z17" s="4500"/>
      <c r="AA17" s="4503"/>
      <c r="AB17" s="4461"/>
      <c r="AC17" s="2883"/>
      <c r="AD17" s="4461"/>
      <c r="AE17" s="2883"/>
      <c r="AF17" s="4461"/>
      <c r="AG17" s="2883"/>
      <c r="AH17" s="4461"/>
      <c r="AI17" s="2883"/>
      <c r="AJ17" s="4464"/>
      <c r="AK17" s="2890"/>
      <c r="AL17" s="4461"/>
      <c r="AM17" s="2883"/>
      <c r="AN17" s="4459"/>
      <c r="AO17" s="2883"/>
      <c r="AP17" s="4461"/>
      <c r="AQ17" s="2883"/>
      <c r="AR17" s="4461"/>
      <c r="AS17" s="2883"/>
      <c r="AT17" s="4464"/>
      <c r="AU17" s="2890"/>
      <c r="AV17" s="4461"/>
      <c r="AW17" s="2883"/>
      <c r="AX17" s="4461"/>
      <c r="AY17" s="2883"/>
      <c r="AZ17" s="4459"/>
      <c r="BA17" s="4456"/>
      <c r="BB17" s="4456"/>
      <c r="BC17" s="4459"/>
      <c r="BD17" s="4459"/>
      <c r="BE17" s="4459"/>
      <c r="BF17" s="4437"/>
      <c r="BG17" s="4440"/>
      <c r="BH17" s="4437"/>
      <c r="BI17" s="4440"/>
      <c r="BJ17" s="4442"/>
    </row>
    <row r="18" spans="1:62" s="10" customFormat="1" ht="91.5" customHeight="1" x14ac:dyDescent="0.2">
      <c r="A18" s="4512"/>
      <c r="B18" s="4513"/>
      <c r="C18" s="4513"/>
      <c r="D18" s="4518"/>
      <c r="E18" s="4513"/>
      <c r="F18" s="4519"/>
      <c r="G18" s="4459"/>
      <c r="H18" s="4524"/>
      <c r="I18" s="4525"/>
      <c r="J18" s="4459"/>
      <c r="K18" s="4445"/>
      <c r="L18" s="4503"/>
      <c r="M18" s="4459"/>
      <c r="N18" s="2883"/>
      <c r="O18" s="4471"/>
      <c r="P18" s="4474"/>
      <c r="Q18" s="4445"/>
      <c r="R18" s="4477"/>
      <c r="S18" s="4480"/>
      <c r="T18" s="4445"/>
      <c r="U18" s="4444" t="s">
        <v>1669</v>
      </c>
      <c r="V18" s="36" t="s">
        <v>1670</v>
      </c>
      <c r="W18" s="2493">
        <v>20000000</v>
      </c>
      <c r="X18" s="2434">
        <v>12600000</v>
      </c>
      <c r="Y18" s="2434">
        <v>12600000</v>
      </c>
      <c r="Z18" s="4500"/>
      <c r="AA18" s="4503"/>
      <c r="AB18" s="4461"/>
      <c r="AC18" s="2883"/>
      <c r="AD18" s="4461"/>
      <c r="AE18" s="2883"/>
      <c r="AF18" s="4461"/>
      <c r="AG18" s="2883"/>
      <c r="AH18" s="4461"/>
      <c r="AI18" s="2883"/>
      <c r="AJ18" s="4464"/>
      <c r="AK18" s="2890"/>
      <c r="AL18" s="4461"/>
      <c r="AM18" s="2883"/>
      <c r="AN18" s="4459"/>
      <c r="AO18" s="2883"/>
      <c r="AP18" s="4461"/>
      <c r="AQ18" s="2883"/>
      <c r="AR18" s="4461"/>
      <c r="AS18" s="2883"/>
      <c r="AT18" s="4464"/>
      <c r="AU18" s="2890"/>
      <c r="AV18" s="4461"/>
      <c r="AW18" s="2883"/>
      <c r="AX18" s="4461"/>
      <c r="AY18" s="2883"/>
      <c r="AZ18" s="4459"/>
      <c r="BA18" s="4456"/>
      <c r="BB18" s="4456"/>
      <c r="BC18" s="4459"/>
      <c r="BD18" s="4459"/>
      <c r="BE18" s="4459"/>
      <c r="BF18" s="4437"/>
      <c r="BG18" s="4440"/>
      <c r="BH18" s="4437"/>
      <c r="BI18" s="4440"/>
      <c r="BJ18" s="4442"/>
    </row>
    <row r="19" spans="1:62" s="10" customFormat="1" ht="118.5" customHeight="1" x14ac:dyDescent="0.2">
      <c r="A19" s="4512"/>
      <c r="B19" s="4513"/>
      <c r="C19" s="4513"/>
      <c r="D19" s="4518"/>
      <c r="E19" s="4513"/>
      <c r="F19" s="4519"/>
      <c r="G19" s="4459"/>
      <c r="H19" s="4524"/>
      <c r="I19" s="4525"/>
      <c r="J19" s="4459"/>
      <c r="K19" s="4445"/>
      <c r="L19" s="4503"/>
      <c r="M19" s="4459"/>
      <c r="N19" s="2883"/>
      <c r="O19" s="4471"/>
      <c r="P19" s="4474"/>
      <c r="Q19" s="4445"/>
      <c r="R19" s="4477"/>
      <c r="S19" s="4480"/>
      <c r="T19" s="4445"/>
      <c r="U19" s="4445"/>
      <c r="V19" s="34" t="s">
        <v>1671</v>
      </c>
      <c r="W19" s="11">
        <v>0</v>
      </c>
      <c r="X19" s="11">
        <v>0</v>
      </c>
      <c r="Y19" s="11">
        <v>0</v>
      </c>
      <c r="Z19" s="4500"/>
      <c r="AA19" s="4503"/>
      <c r="AB19" s="4461"/>
      <c r="AC19" s="2883"/>
      <c r="AD19" s="4461"/>
      <c r="AE19" s="2883"/>
      <c r="AF19" s="4461"/>
      <c r="AG19" s="2883"/>
      <c r="AH19" s="4461"/>
      <c r="AI19" s="2883"/>
      <c r="AJ19" s="4464"/>
      <c r="AK19" s="2890"/>
      <c r="AL19" s="4461"/>
      <c r="AM19" s="2883"/>
      <c r="AN19" s="4459"/>
      <c r="AO19" s="2883"/>
      <c r="AP19" s="4461"/>
      <c r="AQ19" s="2883"/>
      <c r="AR19" s="4461"/>
      <c r="AS19" s="2883"/>
      <c r="AT19" s="4464"/>
      <c r="AU19" s="2890"/>
      <c r="AV19" s="4461"/>
      <c r="AW19" s="2883"/>
      <c r="AX19" s="4461"/>
      <c r="AY19" s="2883"/>
      <c r="AZ19" s="4459"/>
      <c r="BA19" s="4456"/>
      <c r="BB19" s="4456"/>
      <c r="BC19" s="4459"/>
      <c r="BD19" s="4459"/>
      <c r="BE19" s="4459"/>
      <c r="BF19" s="4437"/>
      <c r="BG19" s="4440"/>
      <c r="BH19" s="4437"/>
      <c r="BI19" s="4440"/>
      <c r="BJ19" s="4442"/>
    </row>
    <row r="20" spans="1:62" ht="75" customHeight="1" thickBot="1" x14ac:dyDescent="0.25">
      <c r="A20" s="4514"/>
      <c r="B20" s="4515"/>
      <c r="C20" s="4515"/>
      <c r="D20" s="4520"/>
      <c r="E20" s="4515"/>
      <c r="F20" s="4521"/>
      <c r="G20" s="4460"/>
      <c r="H20" s="4526"/>
      <c r="I20" s="4527"/>
      <c r="J20" s="4460"/>
      <c r="K20" s="4446"/>
      <c r="L20" s="4509"/>
      <c r="M20" s="4460"/>
      <c r="N20" s="4463"/>
      <c r="O20" s="4472"/>
      <c r="P20" s="4475"/>
      <c r="Q20" s="4446"/>
      <c r="R20" s="4478"/>
      <c r="S20" s="4481"/>
      <c r="T20" s="4446"/>
      <c r="U20" s="4446"/>
      <c r="V20" s="37" t="s">
        <v>1672</v>
      </c>
      <c r="W20" s="12">
        <v>12000000</v>
      </c>
      <c r="X20" s="124">
        <f>5600000</f>
        <v>5600000</v>
      </c>
      <c r="Y20" s="124">
        <f>5600000</f>
        <v>5600000</v>
      </c>
      <c r="Z20" s="4508"/>
      <c r="AA20" s="4509"/>
      <c r="AB20" s="4462"/>
      <c r="AC20" s="4463"/>
      <c r="AD20" s="4462"/>
      <c r="AE20" s="4463"/>
      <c r="AF20" s="4462"/>
      <c r="AG20" s="4463"/>
      <c r="AH20" s="4462"/>
      <c r="AI20" s="4463"/>
      <c r="AJ20" s="4465"/>
      <c r="AK20" s="4466"/>
      <c r="AL20" s="4462"/>
      <c r="AM20" s="4463"/>
      <c r="AN20" s="4460"/>
      <c r="AO20" s="4463"/>
      <c r="AP20" s="4462"/>
      <c r="AQ20" s="4463"/>
      <c r="AR20" s="4462"/>
      <c r="AS20" s="4463"/>
      <c r="AT20" s="4465"/>
      <c r="AU20" s="4466"/>
      <c r="AV20" s="4462"/>
      <c r="AW20" s="4463"/>
      <c r="AX20" s="4462"/>
      <c r="AY20" s="4463"/>
      <c r="AZ20" s="4460"/>
      <c r="BA20" s="4457"/>
      <c r="BB20" s="4457"/>
      <c r="BC20" s="4460"/>
      <c r="BD20" s="4460"/>
      <c r="BE20" s="4460"/>
      <c r="BF20" s="4438"/>
      <c r="BG20" s="4441"/>
      <c r="BH20" s="4438"/>
      <c r="BI20" s="4441"/>
      <c r="BJ20" s="4443"/>
    </row>
    <row r="21" spans="1:62" ht="16.5" customHeight="1" thickBot="1" x14ac:dyDescent="0.3">
      <c r="A21" s="4447"/>
      <c r="B21" s="4435"/>
      <c r="C21" s="4435"/>
      <c r="D21" s="4435"/>
      <c r="E21" s="4435"/>
      <c r="F21" s="4435"/>
      <c r="G21" s="4435"/>
      <c r="H21" s="4435"/>
      <c r="I21" s="4435"/>
      <c r="J21" s="4435"/>
      <c r="K21" s="4435"/>
      <c r="L21" s="4435"/>
      <c r="M21" s="4435"/>
      <c r="N21" s="4435"/>
      <c r="O21" s="4435"/>
      <c r="P21" s="4435"/>
      <c r="Q21" s="4435"/>
      <c r="R21" s="4435"/>
      <c r="S21" s="4435"/>
      <c r="T21" s="4435"/>
      <c r="U21" s="4435"/>
      <c r="V21" s="4435"/>
      <c r="W21" s="4435"/>
      <c r="X21" s="4435"/>
      <c r="Y21" s="4435"/>
      <c r="Z21" s="4435"/>
      <c r="AA21" s="4435"/>
      <c r="AB21" s="4435"/>
      <c r="AC21" s="4435"/>
      <c r="AD21" s="4435"/>
      <c r="AE21" s="4435"/>
      <c r="AF21" s="4435"/>
      <c r="AG21" s="4435"/>
      <c r="AH21" s="4435"/>
      <c r="AI21" s="4435"/>
      <c r="AJ21" s="4435"/>
      <c r="AK21" s="4435"/>
      <c r="AL21" s="4435"/>
      <c r="AM21" s="4435"/>
      <c r="AN21" s="4435"/>
      <c r="AO21" s="4435"/>
      <c r="AP21" s="4435"/>
      <c r="AQ21" s="4435"/>
      <c r="AR21" s="4435"/>
      <c r="AS21" s="4435"/>
      <c r="AT21" s="4435"/>
      <c r="AU21" s="4435"/>
      <c r="AV21" s="4435"/>
      <c r="AW21" s="4435"/>
      <c r="AX21" s="4435"/>
      <c r="AY21" s="4435"/>
      <c r="AZ21" s="4435"/>
      <c r="BA21" s="4435"/>
      <c r="BB21" s="4435"/>
      <c r="BC21" s="4435"/>
      <c r="BD21" s="4435"/>
      <c r="BE21" s="4435"/>
      <c r="BF21" s="4435"/>
      <c r="BG21" s="4435"/>
      <c r="BH21" s="4435"/>
      <c r="BI21" s="4435"/>
      <c r="BJ21" s="4448"/>
    </row>
    <row r="22" spans="1:62" ht="16.5" customHeight="1" thickBot="1" x14ac:dyDescent="0.3">
      <c r="A22" s="4449" t="s">
        <v>119</v>
      </c>
      <c r="B22" s="4450"/>
      <c r="C22" s="4450"/>
      <c r="D22" s="4450"/>
      <c r="E22" s="4450"/>
      <c r="F22" s="4450"/>
      <c r="G22" s="4450"/>
      <c r="H22" s="4450"/>
      <c r="I22" s="4450"/>
      <c r="J22" s="4450"/>
      <c r="K22" s="4450"/>
      <c r="L22" s="4450"/>
      <c r="M22" s="4450"/>
      <c r="N22" s="4450"/>
      <c r="O22" s="4450"/>
      <c r="P22" s="4450"/>
      <c r="Q22" s="4450"/>
      <c r="R22" s="4451"/>
      <c r="S22" s="154">
        <f>SUM(S13:S20)</f>
        <v>100000000</v>
      </c>
      <c r="T22" s="4452"/>
      <c r="U22" s="4453"/>
      <c r="V22" s="4454"/>
      <c r="W22" s="112">
        <f>SUM(W13:W20)</f>
        <v>100000000</v>
      </c>
      <c r="X22" s="189">
        <f>SUM(X13:X20)</f>
        <v>82950000</v>
      </c>
      <c r="Y22" s="189">
        <f>SUM(Y13:Y20)</f>
        <v>82950000</v>
      </c>
      <c r="Z22" s="2495"/>
      <c r="AA22" s="2496"/>
      <c r="AB22" s="2496"/>
      <c r="AC22" s="192"/>
      <c r="AD22" s="2496"/>
      <c r="AE22" s="192"/>
      <c r="AF22" s="2496"/>
      <c r="AG22" s="192"/>
      <c r="AH22" s="2496"/>
      <c r="AI22" s="192"/>
      <c r="AJ22" s="2496"/>
      <c r="AK22" s="192"/>
      <c r="AL22" s="2496"/>
      <c r="AM22" s="192"/>
      <c r="AN22" s="2496"/>
      <c r="AO22" s="192"/>
      <c r="AP22" s="2496"/>
      <c r="AQ22" s="192"/>
      <c r="AR22" s="2496"/>
      <c r="AS22" s="192"/>
      <c r="AT22" s="2496"/>
      <c r="AU22" s="192"/>
      <c r="AV22" s="2496"/>
      <c r="AW22" s="192"/>
      <c r="AX22" s="2496"/>
      <c r="AY22" s="192"/>
      <c r="AZ22" s="2496"/>
      <c r="BA22" s="2496"/>
      <c r="BB22" s="2496"/>
      <c r="BC22" s="2496"/>
      <c r="BD22" s="2496"/>
      <c r="BE22" s="2496"/>
      <c r="BF22" s="2496"/>
      <c r="BG22" s="192"/>
      <c r="BH22" s="2496"/>
      <c r="BI22" s="192"/>
      <c r="BJ22" s="2497"/>
    </row>
    <row r="23" spans="1:62" ht="16.5" customHeight="1" x14ac:dyDescent="0.25">
      <c r="A23" s="2494"/>
      <c r="B23" s="2494"/>
      <c r="C23" s="2494"/>
      <c r="D23" s="2494"/>
      <c r="E23" s="2494"/>
      <c r="F23" s="2494"/>
      <c r="G23" s="2494"/>
      <c r="H23" s="2494"/>
      <c r="I23" s="2494"/>
      <c r="J23" s="2494"/>
      <c r="K23" s="2494"/>
      <c r="L23" s="2494"/>
      <c r="M23" s="2494"/>
      <c r="N23" s="187"/>
      <c r="O23" s="2494"/>
      <c r="P23" s="2494"/>
      <c r="Q23" s="2494"/>
      <c r="R23" s="2494"/>
      <c r="S23" s="2494"/>
      <c r="T23" s="2494"/>
      <c r="U23" s="2494"/>
      <c r="V23" s="2494"/>
      <c r="W23" s="2494"/>
      <c r="X23" s="187"/>
      <c r="Y23" s="187"/>
      <c r="Z23" s="2494"/>
      <c r="AA23" s="2494"/>
      <c r="AB23" s="2494"/>
      <c r="AC23" s="187"/>
      <c r="AD23" s="2494"/>
      <c r="AE23" s="187"/>
      <c r="AF23" s="2494"/>
      <c r="AG23" s="187"/>
      <c r="AH23" s="2494"/>
      <c r="AI23" s="187"/>
      <c r="AJ23" s="2494"/>
      <c r="AK23" s="187"/>
      <c r="AL23" s="2494"/>
      <c r="AM23" s="187"/>
      <c r="AN23" s="2494"/>
      <c r="AO23" s="187"/>
      <c r="AP23" s="2494"/>
      <c r="AQ23" s="187"/>
      <c r="AR23" s="2494"/>
      <c r="AS23" s="187"/>
      <c r="AT23" s="2494"/>
      <c r="AU23" s="187"/>
      <c r="AV23" s="2494"/>
      <c r="AW23" s="187"/>
      <c r="AX23" s="2494"/>
      <c r="AY23" s="187"/>
      <c r="AZ23" s="2494"/>
      <c r="BA23" s="2494"/>
      <c r="BB23" s="2494"/>
      <c r="BC23" s="2494"/>
      <c r="BD23" s="2494"/>
      <c r="BE23" s="2494"/>
      <c r="BF23" s="2494"/>
      <c r="BG23" s="187"/>
      <c r="BH23" s="2494"/>
      <c r="BI23" s="187"/>
      <c r="BJ23" s="2494"/>
    </row>
    <row r="24" spans="1:62" ht="15" x14ac:dyDescent="0.25">
      <c r="A24" s="4435"/>
      <c r="B24" s="4435"/>
      <c r="C24" s="4435"/>
      <c r="D24" s="4435"/>
      <c r="E24" s="4435"/>
      <c r="F24" s="4435"/>
      <c r="G24" s="4435"/>
      <c r="H24" s="4435"/>
      <c r="I24" s="4435"/>
      <c r="J24" s="4435"/>
      <c r="K24" s="4435"/>
      <c r="L24" s="4435"/>
      <c r="M24" s="4435"/>
      <c r="N24" s="4435"/>
      <c r="O24" s="4435"/>
      <c r="P24" s="4435"/>
      <c r="Q24" s="4435"/>
      <c r="R24" s="4435"/>
      <c r="S24" s="4435"/>
      <c r="T24" s="4435"/>
      <c r="U24" s="4435"/>
      <c r="V24" s="4435"/>
      <c r="W24" s="4435"/>
      <c r="X24" s="4435"/>
      <c r="Y24" s="4435"/>
      <c r="Z24" s="4435"/>
      <c r="AA24" s="4435"/>
      <c r="AB24" s="4435"/>
      <c r="AC24" s="4435"/>
      <c r="AD24" s="4435"/>
      <c r="AE24" s="4435"/>
      <c r="AF24" s="4435"/>
      <c r="AG24" s="4435"/>
      <c r="AH24" s="4435"/>
      <c r="AI24" s="4435"/>
      <c r="AJ24" s="4435"/>
      <c r="AK24" s="4435"/>
      <c r="AL24" s="4435"/>
      <c r="AM24" s="4435"/>
      <c r="AN24" s="4435"/>
      <c r="AO24" s="4435"/>
      <c r="AP24" s="4435"/>
      <c r="AQ24" s="4435"/>
      <c r="AR24" s="4435"/>
      <c r="AS24" s="4435"/>
      <c r="AT24" s="4435"/>
      <c r="AU24" s="4435"/>
      <c r="AV24" s="4435"/>
      <c r="AW24" s="4435"/>
      <c r="AX24" s="4435"/>
      <c r="AY24" s="4435"/>
      <c r="AZ24" s="4435"/>
      <c r="BA24" s="4435"/>
      <c r="BB24" s="4435"/>
      <c r="BC24" s="4435"/>
      <c r="BD24" s="4435"/>
      <c r="BE24" s="4435"/>
      <c r="BF24" s="4435"/>
      <c r="BG24" s="4435"/>
      <c r="BH24" s="4435"/>
      <c r="BI24" s="4435"/>
      <c r="BJ24" s="4435"/>
    </row>
    <row r="25" spans="1:62" ht="15" x14ac:dyDescent="0.25">
      <c r="C25" s="4435" t="s">
        <v>1673</v>
      </c>
      <c r="D25" s="4435"/>
      <c r="E25" s="4435"/>
      <c r="F25" s="4435"/>
      <c r="G25" s="4435"/>
      <c r="H25" s="4435"/>
      <c r="I25" s="4435"/>
      <c r="J25" s="4435"/>
      <c r="V25" s="150"/>
      <c r="W25" s="151"/>
      <c r="X25" s="159"/>
      <c r="Y25" s="159"/>
      <c r="Z25" s="150"/>
    </row>
    <row r="26" spans="1:62" x14ac:dyDescent="0.2">
      <c r="C26" s="4436" t="s">
        <v>1674</v>
      </c>
      <c r="D26" s="4436"/>
      <c r="E26" s="4436"/>
      <c r="F26" s="4436"/>
      <c r="G26" s="4436"/>
      <c r="H26" s="4436"/>
      <c r="I26" s="4436"/>
      <c r="J26" s="4436"/>
      <c r="V26" s="150"/>
      <c r="W26" s="150"/>
      <c r="X26" s="190"/>
      <c r="Y26" s="190"/>
      <c r="Z26" s="150"/>
    </row>
    <row r="27" spans="1:62" x14ac:dyDescent="0.2">
      <c r="V27" s="150"/>
      <c r="W27" s="150"/>
      <c r="X27" s="190"/>
      <c r="Y27" s="190"/>
      <c r="Z27" s="150"/>
    </row>
    <row r="28" spans="1:62" x14ac:dyDescent="0.2">
      <c r="V28" s="150"/>
      <c r="W28" s="150"/>
      <c r="X28" s="190"/>
      <c r="Y28" s="190"/>
      <c r="Z28" s="150"/>
    </row>
    <row r="29" spans="1:62" x14ac:dyDescent="0.2">
      <c r="V29" s="150"/>
      <c r="W29" s="150"/>
      <c r="X29" s="190"/>
      <c r="Y29" s="190"/>
      <c r="Z29" s="150"/>
    </row>
    <row r="30" spans="1:62" x14ac:dyDescent="0.2">
      <c r="V30" s="150"/>
      <c r="W30" s="150"/>
      <c r="X30" s="190"/>
      <c r="Y30" s="190"/>
      <c r="Z30" s="150"/>
    </row>
    <row r="31" spans="1:62" x14ac:dyDescent="0.2">
      <c r="V31" s="150"/>
      <c r="W31" s="150"/>
      <c r="X31" s="190"/>
      <c r="Y31" s="190"/>
      <c r="Z31" s="150"/>
    </row>
  </sheetData>
  <sheetProtection algorithmName="SHA-512" hashValue="Z0cCdk9Qs4Y1B+7u2+Q1fWNGhNhVQUJ0/mDEESsBeMvpUVbVtIh3U9c+dFAueXhc6pkQ7F+0KmgF+FuM9RGYww==" saltValue="qaszPbwIfXk713OYUjEORw==" spinCount="100000" sheet="1" objects="1" scenarios="1"/>
  <mergeCells count="163">
    <mergeCell ref="Q5:BJ5"/>
    <mergeCell ref="Q6:AA6"/>
    <mergeCell ref="BF6:BJ6"/>
    <mergeCell ref="T7:T9"/>
    <mergeCell ref="U7:U9"/>
    <mergeCell ref="H7:I9"/>
    <mergeCell ref="J7:J9"/>
    <mergeCell ref="K7:K9"/>
    <mergeCell ref="L7:L9"/>
    <mergeCell ref="M7:N8"/>
    <mergeCell ref="O7:O9"/>
    <mergeCell ref="BH7:BI8"/>
    <mergeCell ref="BJ7:BJ9"/>
    <mergeCell ref="AX8:AY8"/>
    <mergeCell ref="AZ8:AZ9"/>
    <mergeCell ref="BA8:BA9"/>
    <mergeCell ref="BB8:BB9"/>
    <mergeCell ref="BC8:BC9"/>
    <mergeCell ref="A1:BF4"/>
    <mergeCell ref="A5:M6"/>
    <mergeCell ref="AB6:AY6"/>
    <mergeCell ref="A7:A9"/>
    <mergeCell ref="B7:C9"/>
    <mergeCell ref="D7:D9"/>
    <mergeCell ref="E7:F9"/>
    <mergeCell ref="G7:G9"/>
    <mergeCell ref="AZ7:BE7"/>
    <mergeCell ref="BF7:BG8"/>
    <mergeCell ref="AB8:AC8"/>
    <mergeCell ref="AD8:AE8"/>
    <mergeCell ref="AF8:AG8"/>
    <mergeCell ref="AH8:AI8"/>
    <mergeCell ref="AJ8:AK8"/>
    <mergeCell ref="AL8:AM8"/>
    <mergeCell ref="AB7:AM7"/>
    <mergeCell ref="AN7:AY7"/>
    <mergeCell ref="AN8:AO8"/>
    <mergeCell ref="AP8:AQ8"/>
    <mergeCell ref="AR8:AS8"/>
    <mergeCell ref="AT8:AU8"/>
    <mergeCell ref="BD8:BD9"/>
    <mergeCell ref="BE8:BE9"/>
    <mergeCell ref="A11:C20"/>
    <mergeCell ref="E11:L11"/>
    <mergeCell ref="D12:F20"/>
    <mergeCell ref="G13:G20"/>
    <mergeCell ref="H13:I20"/>
    <mergeCell ref="J13:J20"/>
    <mergeCell ref="K13:K20"/>
    <mergeCell ref="L13:L20"/>
    <mergeCell ref="AV8:AW8"/>
    <mergeCell ref="V7:V9"/>
    <mergeCell ref="W7:Y8"/>
    <mergeCell ref="Z7:Z9"/>
    <mergeCell ref="AA7:AA9"/>
    <mergeCell ref="P7:P9"/>
    <mergeCell ref="Q7:Q9"/>
    <mergeCell ref="R7:R9"/>
    <mergeCell ref="S7:S9"/>
    <mergeCell ref="S13:S15"/>
    <mergeCell ref="T13:T15"/>
    <mergeCell ref="U13:U14"/>
    <mergeCell ref="W13:W15"/>
    <mergeCell ref="X13:X15"/>
    <mergeCell ref="Y13:Y15"/>
    <mergeCell ref="M13:M20"/>
    <mergeCell ref="N13:N20"/>
    <mergeCell ref="O13:O15"/>
    <mergeCell ref="P13:P15"/>
    <mergeCell ref="Q13:Q15"/>
    <mergeCell ref="R13:R15"/>
    <mergeCell ref="AF13:AF15"/>
    <mergeCell ref="AG13:AG15"/>
    <mergeCell ref="AH13:AH15"/>
    <mergeCell ref="AI13:AI15"/>
    <mergeCell ref="AD16:AD20"/>
    <mergeCell ref="AE16:AE20"/>
    <mergeCell ref="AF16:AF20"/>
    <mergeCell ref="AG16:AG20"/>
    <mergeCell ref="AH16:AH20"/>
    <mergeCell ref="AI16:AI20"/>
    <mergeCell ref="X16:X17"/>
    <mergeCell ref="Y16:Y17"/>
    <mergeCell ref="Z16:Z20"/>
    <mergeCell ref="AA16:AA20"/>
    <mergeCell ref="AB16:AB20"/>
    <mergeCell ref="AC16:AC20"/>
    <mergeCell ref="AJ13:AJ15"/>
    <mergeCell ref="AK13:AK15"/>
    <mergeCell ref="Z13:Z15"/>
    <mergeCell ref="AA13:AA15"/>
    <mergeCell ref="AB13:AB15"/>
    <mergeCell ref="AC13:AC15"/>
    <mergeCell ref="AD13:AD15"/>
    <mergeCell ref="AE13:AE15"/>
    <mergeCell ref="AT13:AT15"/>
    <mergeCell ref="AU13:AU15"/>
    <mergeCell ref="AV13:AV15"/>
    <mergeCell ref="AW13:AW15"/>
    <mergeCell ref="AL13:AL15"/>
    <mergeCell ref="AM13:AM15"/>
    <mergeCell ref="AN13:AN15"/>
    <mergeCell ref="AO13:AO15"/>
    <mergeCell ref="AP13:AP15"/>
    <mergeCell ref="AQ13:AQ15"/>
    <mergeCell ref="BJ13:BJ15"/>
    <mergeCell ref="O16:O20"/>
    <mergeCell ref="P16:P20"/>
    <mergeCell ref="Q16:Q20"/>
    <mergeCell ref="R16:R20"/>
    <mergeCell ref="S16:S20"/>
    <mergeCell ref="T16:T20"/>
    <mergeCell ref="U16:U17"/>
    <mergeCell ref="V16:V17"/>
    <mergeCell ref="W16:W17"/>
    <mergeCell ref="BD13:BD15"/>
    <mergeCell ref="BE13:BE15"/>
    <mergeCell ref="BF13:BF15"/>
    <mergeCell ref="BG13:BG15"/>
    <mergeCell ref="BH13:BH15"/>
    <mergeCell ref="BI13:BI15"/>
    <mergeCell ref="AX13:AX15"/>
    <mergeCell ref="AY13:AY15"/>
    <mergeCell ref="AZ13:AZ15"/>
    <mergeCell ref="BA13:BA15"/>
    <mergeCell ref="BB13:BB15"/>
    <mergeCell ref="BC13:BC15"/>
    <mergeCell ref="AR13:AR15"/>
    <mergeCell ref="AS13:AS15"/>
    <mergeCell ref="AR16:AR20"/>
    <mergeCell ref="AS16:AS20"/>
    <mergeCell ref="AT16:AT20"/>
    <mergeCell ref="AU16:AU20"/>
    <mergeCell ref="AJ16:AJ20"/>
    <mergeCell ref="AK16:AK20"/>
    <mergeCell ref="AL16:AL20"/>
    <mergeCell ref="AM16:AM20"/>
    <mergeCell ref="AN16:AN20"/>
    <mergeCell ref="AO16:AO20"/>
    <mergeCell ref="A24:BJ24"/>
    <mergeCell ref="C25:J25"/>
    <mergeCell ref="C26:J26"/>
    <mergeCell ref="BH16:BH20"/>
    <mergeCell ref="BI16:BI20"/>
    <mergeCell ref="BJ16:BJ20"/>
    <mergeCell ref="U18:U20"/>
    <mergeCell ref="A21:BJ21"/>
    <mergeCell ref="A22:R22"/>
    <mergeCell ref="T22:V22"/>
    <mergeCell ref="BB16:BB20"/>
    <mergeCell ref="BC16:BC20"/>
    <mergeCell ref="BD16:BD20"/>
    <mergeCell ref="BE16:BE20"/>
    <mergeCell ref="BF16:BF20"/>
    <mergeCell ref="BG16:BG20"/>
    <mergeCell ref="AV16:AV20"/>
    <mergeCell ref="AW16:AW20"/>
    <mergeCell ref="AX16:AX20"/>
    <mergeCell ref="AY16:AY20"/>
    <mergeCell ref="AZ16:AZ20"/>
    <mergeCell ref="BA16:BA20"/>
    <mergeCell ref="AP16:AP20"/>
    <mergeCell ref="AQ16:AQ2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CA146"/>
  <sheetViews>
    <sheetView showGridLines="0" topLeftCell="N1" zoomScale="55" zoomScaleNormal="55" zoomScaleSheetLayoutView="30" workbookViewId="0">
      <selection activeCell="X21" sqref="X21"/>
    </sheetView>
  </sheetViews>
  <sheetFormatPr baseColWidth="10" defaultColWidth="11.42578125" defaultRowHeight="14.25" x14ac:dyDescent="0.2"/>
  <cols>
    <col min="1" max="1" width="14.7109375" style="4" customWidth="1"/>
    <col min="2" max="2" width="10.7109375" style="4" customWidth="1"/>
    <col min="3" max="3" width="8.28515625" style="4" customWidth="1"/>
    <col min="4" max="4" width="14" style="4" customWidth="1"/>
    <col min="5" max="5" width="7.42578125" style="4" customWidth="1"/>
    <col min="6" max="6" width="11.140625" style="4" customWidth="1"/>
    <col min="7" max="7" width="7.5703125" style="4" customWidth="1"/>
    <col min="8" max="8" width="8.5703125" style="4" customWidth="1"/>
    <col min="9" max="9" width="11" style="4" customWidth="1"/>
    <col min="10" max="10" width="9.5703125" style="4" customWidth="1"/>
    <col min="11" max="11" width="31.28515625" style="7" customWidth="1"/>
    <col min="12" max="12" width="16.28515625" style="414" customWidth="1"/>
    <col min="13" max="13" width="13.28515625" style="414" customWidth="1"/>
    <col min="14" max="14" width="13.28515625" style="492" customWidth="1"/>
    <col min="15" max="15" width="26.85546875" style="7" customWidth="1"/>
    <col min="16" max="16" width="14" style="414" customWidth="1"/>
    <col min="17" max="17" width="28.140625" style="7" customWidth="1"/>
    <col min="18" max="18" width="10" style="414" customWidth="1"/>
    <col min="19" max="19" width="28.7109375" style="7" customWidth="1"/>
    <col min="20" max="20" width="31.42578125" style="7" customWidth="1"/>
    <col min="21" max="21" width="35" style="7" customWidth="1"/>
    <col min="22" max="22" width="31.28515625" style="7" customWidth="1"/>
    <col min="23" max="23" width="29" style="7" customWidth="1"/>
    <col min="24" max="24" width="29.42578125" style="494" customWidth="1"/>
    <col min="25" max="25" width="29.28515625" style="494" customWidth="1"/>
    <col min="26" max="26" width="15.28515625" style="414" customWidth="1"/>
    <col min="27" max="27" width="19.42578125" style="7" customWidth="1"/>
    <col min="28" max="28" width="10.140625" style="632" customWidth="1"/>
    <col min="29" max="29" width="10.140625" style="1073" customWidth="1"/>
    <col min="30" max="30" width="10.140625" style="632" customWidth="1"/>
    <col min="31" max="31" width="10.140625" style="1073" customWidth="1"/>
    <col min="32" max="32" width="10.140625" style="632" customWidth="1"/>
    <col min="33" max="33" width="10.140625" style="1073" customWidth="1"/>
    <col min="34" max="34" width="10.140625" style="632" customWidth="1"/>
    <col min="35" max="35" width="10.140625" style="1073" customWidth="1"/>
    <col min="36" max="36" width="10.140625" style="632" customWidth="1"/>
    <col min="37" max="37" width="10.140625" style="1073" customWidth="1"/>
    <col min="38" max="38" width="10.140625" style="632" customWidth="1"/>
    <col min="39" max="39" width="10.140625" style="1073" customWidth="1"/>
    <col min="40" max="40" width="10.140625" style="632" customWidth="1"/>
    <col min="41" max="41" width="10.140625" style="1073" customWidth="1"/>
    <col min="42" max="42" width="10.140625" style="632" customWidth="1"/>
    <col min="43" max="43" width="10.140625" style="1073" customWidth="1"/>
    <col min="44" max="44" width="10.140625" style="632" customWidth="1"/>
    <col min="45" max="45" width="10.140625" style="1073" customWidth="1"/>
    <col min="46" max="46" width="10.140625" style="632" customWidth="1"/>
    <col min="47" max="47" width="10.140625" style="1073" customWidth="1"/>
    <col min="48" max="48" width="10.140625" style="632" customWidth="1"/>
    <col min="49" max="49" width="10.140625" style="1073" customWidth="1"/>
    <col min="50" max="50" width="10.140625" style="632" customWidth="1"/>
    <col min="51" max="51" width="10.140625" style="1073" customWidth="1"/>
    <col min="52" max="52" width="21.140625" style="4" customWidth="1"/>
    <col min="53" max="53" width="35" style="1561" customWidth="1"/>
    <col min="54" max="54" width="28.85546875" style="1561" customWidth="1"/>
    <col min="55" max="55" width="21.140625" style="1074" customWidth="1"/>
    <col min="56" max="57" width="21.140625" style="632" customWidth="1"/>
    <col min="58" max="58" width="22.7109375" style="21" customWidth="1"/>
    <col min="59" max="59" width="22.7109375" style="418" customWidth="1"/>
    <col min="60" max="60" width="22.7109375" style="22" customWidth="1"/>
    <col min="61" max="61" width="22.7109375" style="419" customWidth="1"/>
    <col min="62" max="62" width="28.7109375" style="197" customWidth="1"/>
    <col min="63" max="63" width="21.42578125" style="413" customWidth="1"/>
    <col min="64" max="64" width="15.7109375" style="413" bestFit="1" customWidth="1"/>
    <col min="65" max="16384" width="11.42578125" style="413"/>
  </cols>
  <sheetData>
    <row r="1" spans="1:68" s="4" customFormat="1" ht="15" customHeight="1"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2742"/>
      <c r="BD1" s="2742"/>
      <c r="BE1" s="2742"/>
      <c r="BF1" s="2742"/>
      <c r="BG1" s="2083"/>
      <c r="BI1" s="1895" t="s">
        <v>1</v>
      </c>
      <c r="BJ1" s="1895" t="s">
        <v>2</v>
      </c>
    </row>
    <row r="2" spans="1:68" s="4" customFormat="1"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2742"/>
      <c r="BD2" s="2742"/>
      <c r="BE2" s="2742"/>
      <c r="BF2" s="2742"/>
      <c r="BG2" s="2083"/>
      <c r="BI2" s="1896" t="s">
        <v>3</v>
      </c>
      <c r="BJ2" s="1897">
        <v>5</v>
      </c>
    </row>
    <row r="3" spans="1:68" s="4" customFormat="1"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2742"/>
      <c r="BD3" s="2742"/>
      <c r="BE3" s="2742"/>
      <c r="BF3" s="2742"/>
      <c r="BG3" s="2083"/>
      <c r="BI3" s="1895" t="s">
        <v>4</v>
      </c>
      <c r="BJ3" s="1898" t="s">
        <v>5</v>
      </c>
    </row>
    <row r="4" spans="1:68" s="24" customFormat="1" ht="21"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2743"/>
      <c r="BD4" s="2743"/>
      <c r="BE4" s="2743"/>
      <c r="BF4" s="2743"/>
      <c r="BG4" s="2084"/>
      <c r="BI4" s="679" t="s">
        <v>6</v>
      </c>
      <c r="BJ4" s="1899" t="s">
        <v>7</v>
      </c>
    </row>
    <row r="5" spans="1:68"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8" s="4" customFormat="1"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8" s="895" customFormat="1" ht="14.25" customHeight="1" x14ac:dyDescent="0.2">
      <c r="A7" s="4581" t="s">
        <v>11</v>
      </c>
      <c r="B7" s="4580" t="s">
        <v>12</v>
      </c>
      <c r="C7" s="4581"/>
      <c r="D7" s="4578" t="s">
        <v>11</v>
      </c>
      <c r="E7" s="4580" t="s">
        <v>13</v>
      </c>
      <c r="F7" s="4581"/>
      <c r="G7" s="4578" t="s">
        <v>11</v>
      </c>
      <c r="H7" s="4580" t="s">
        <v>14</v>
      </c>
      <c r="I7" s="4581"/>
      <c r="J7" s="4576" t="s">
        <v>11</v>
      </c>
      <c r="K7" s="4578" t="s">
        <v>15</v>
      </c>
      <c r="L7" s="4578" t="s">
        <v>16</v>
      </c>
      <c r="M7" s="4580" t="s">
        <v>17</v>
      </c>
      <c r="N7" s="4581"/>
      <c r="O7" s="4578" t="s">
        <v>18</v>
      </c>
      <c r="P7" s="4578" t="s">
        <v>294</v>
      </c>
      <c r="Q7" s="4578" t="s">
        <v>9</v>
      </c>
      <c r="R7" s="4578" t="s">
        <v>20</v>
      </c>
      <c r="S7" s="4578" t="s">
        <v>21</v>
      </c>
      <c r="T7" s="4578" t="s">
        <v>22</v>
      </c>
      <c r="U7" s="4578" t="s">
        <v>23</v>
      </c>
      <c r="V7" s="4578" t="s">
        <v>24</v>
      </c>
      <c r="W7" s="4580" t="s">
        <v>21</v>
      </c>
      <c r="X7" s="4592"/>
      <c r="Y7" s="4581"/>
      <c r="Z7" s="4578" t="s">
        <v>11</v>
      </c>
      <c r="AA7" s="4578" t="s">
        <v>25</v>
      </c>
      <c r="AB7" s="4599" t="s">
        <v>26</v>
      </c>
      <c r="AC7" s="4600"/>
      <c r="AD7" s="4600"/>
      <c r="AE7" s="4600"/>
      <c r="AF7" s="4600"/>
      <c r="AG7" s="4600"/>
      <c r="AH7" s="4600"/>
      <c r="AI7" s="4600"/>
      <c r="AJ7" s="4600"/>
      <c r="AK7" s="4600"/>
      <c r="AL7" s="4600"/>
      <c r="AM7" s="4601"/>
      <c r="AN7" s="4599" t="s">
        <v>27</v>
      </c>
      <c r="AO7" s="4600"/>
      <c r="AP7" s="4600"/>
      <c r="AQ7" s="4600"/>
      <c r="AR7" s="4600"/>
      <c r="AS7" s="4600"/>
      <c r="AT7" s="4600"/>
      <c r="AU7" s="4600"/>
      <c r="AV7" s="4600"/>
      <c r="AW7" s="4600"/>
      <c r="AX7" s="4600"/>
      <c r="AY7" s="4601"/>
      <c r="AZ7" s="4602" t="s">
        <v>28</v>
      </c>
      <c r="BA7" s="4603"/>
      <c r="BB7" s="4603"/>
      <c r="BC7" s="4603"/>
      <c r="BD7" s="4603"/>
      <c r="BE7" s="4604"/>
      <c r="BF7" s="4586" t="s">
        <v>29</v>
      </c>
      <c r="BG7" s="4586"/>
      <c r="BH7" s="4586" t="s">
        <v>30</v>
      </c>
      <c r="BI7" s="4586"/>
      <c r="BJ7" s="4587" t="s">
        <v>31</v>
      </c>
    </row>
    <row r="8" spans="1:68" s="895" customFormat="1" ht="53.25" customHeight="1" x14ac:dyDescent="0.2">
      <c r="A8" s="4584"/>
      <c r="B8" s="4585"/>
      <c r="C8" s="4584"/>
      <c r="D8" s="4579"/>
      <c r="E8" s="4585"/>
      <c r="F8" s="4584"/>
      <c r="G8" s="4579"/>
      <c r="H8" s="4585"/>
      <c r="I8" s="4584"/>
      <c r="J8" s="4577"/>
      <c r="K8" s="4579"/>
      <c r="L8" s="4579"/>
      <c r="M8" s="4582"/>
      <c r="N8" s="4583"/>
      <c r="O8" s="4579"/>
      <c r="P8" s="4579"/>
      <c r="Q8" s="4579"/>
      <c r="R8" s="4579"/>
      <c r="S8" s="4579"/>
      <c r="T8" s="4579"/>
      <c r="U8" s="4579"/>
      <c r="V8" s="4579"/>
      <c r="W8" s="4582"/>
      <c r="X8" s="4593"/>
      <c r="Y8" s="4583"/>
      <c r="Z8" s="4579"/>
      <c r="AA8" s="4579"/>
      <c r="AB8" s="4588" t="s">
        <v>1675</v>
      </c>
      <c r="AC8" s="4589"/>
      <c r="AD8" s="4590" t="s">
        <v>33</v>
      </c>
      <c r="AE8" s="4591"/>
      <c r="AF8" s="4588" t="s">
        <v>34</v>
      </c>
      <c r="AG8" s="4589"/>
      <c r="AH8" s="4588" t="s">
        <v>35</v>
      </c>
      <c r="AI8" s="4589"/>
      <c r="AJ8" s="4588" t="s">
        <v>36</v>
      </c>
      <c r="AK8" s="4589"/>
      <c r="AL8" s="4588" t="s">
        <v>37</v>
      </c>
      <c r="AM8" s="4589"/>
      <c r="AN8" s="4588" t="s">
        <v>38</v>
      </c>
      <c r="AO8" s="4589"/>
      <c r="AP8" s="4588" t="s">
        <v>39</v>
      </c>
      <c r="AQ8" s="4589"/>
      <c r="AR8" s="4588" t="s">
        <v>40</v>
      </c>
      <c r="AS8" s="4589"/>
      <c r="AT8" s="4588" t="s">
        <v>41</v>
      </c>
      <c r="AU8" s="4589"/>
      <c r="AV8" s="4588" t="s">
        <v>42</v>
      </c>
      <c r="AW8" s="4589"/>
      <c r="AX8" s="4588" t="s">
        <v>43</v>
      </c>
      <c r="AY8" s="4589"/>
      <c r="AZ8" s="2991" t="s">
        <v>44</v>
      </c>
      <c r="BA8" s="4597" t="s">
        <v>45</v>
      </c>
      <c r="BB8" s="4597" t="s">
        <v>46</v>
      </c>
      <c r="BC8" s="4598" t="s">
        <v>47</v>
      </c>
      <c r="BD8" s="2991" t="s">
        <v>48</v>
      </c>
      <c r="BE8" s="2974" t="s">
        <v>49</v>
      </c>
      <c r="BF8" s="4586"/>
      <c r="BG8" s="4586"/>
      <c r="BH8" s="4586"/>
      <c r="BI8" s="4586"/>
      <c r="BJ8" s="4587"/>
    </row>
    <row r="9" spans="1:68" s="895" customFormat="1" ht="23.25" customHeight="1" x14ac:dyDescent="0.2">
      <c r="A9" s="4584"/>
      <c r="B9" s="4585"/>
      <c r="C9" s="4584"/>
      <c r="D9" s="4579"/>
      <c r="E9" s="4585"/>
      <c r="F9" s="4584"/>
      <c r="G9" s="4579"/>
      <c r="H9" s="4585"/>
      <c r="I9" s="4584"/>
      <c r="J9" s="4577"/>
      <c r="K9" s="4579"/>
      <c r="L9" s="4579"/>
      <c r="M9" s="896" t="s">
        <v>50</v>
      </c>
      <c r="N9" s="897" t="s">
        <v>51</v>
      </c>
      <c r="O9" s="4579"/>
      <c r="P9" s="4579"/>
      <c r="Q9" s="4579"/>
      <c r="R9" s="4579"/>
      <c r="S9" s="4579"/>
      <c r="T9" s="4579"/>
      <c r="U9" s="4579"/>
      <c r="V9" s="4579"/>
      <c r="W9" s="896" t="s">
        <v>52</v>
      </c>
      <c r="X9" s="897" t="s">
        <v>53</v>
      </c>
      <c r="Y9" s="897" t="s">
        <v>54</v>
      </c>
      <c r="Z9" s="4579"/>
      <c r="AA9" s="4579"/>
      <c r="AB9" s="896" t="s">
        <v>121</v>
      </c>
      <c r="AC9" s="897" t="s">
        <v>51</v>
      </c>
      <c r="AD9" s="896" t="s">
        <v>121</v>
      </c>
      <c r="AE9" s="897" t="s">
        <v>51</v>
      </c>
      <c r="AF9" s="896" t="s">
        <v>121</v>
      </c>
      <c r="AG9" s="897" t="s">
        <v>51</v>
      </c>
      <c r="AH9" s="896" t="s">
        <v>121</v>
      </c>
      <c r="AI9" s="897" t="s">
        <v>51</v>
      </c>
      <c r="AJ9" s="896" t="s">
        <v>121</v>
      </c>
      <c r="AK9" s="897" t="s">
        <v>51</v>
      </c>
      <c r="AL9" s="896" t="s">
        <v>121</v>
      </c>
      <c r="AM9" s="897" t="s">
        <v>51</v>
      </c>
      <c r="AN9" s="896" t="s">
        <v>121</v>
      </c>
      <c r="AO9" s="897" t="s">
        <v>51</v>
      </c>
      <c r="AP9" s="896" t="s">
        <v>121</v>
      </c>
      <c r="AQ9" s="897" t="s">
        <v>51</v>
      </c>
      <c r="AR9" s="896" t="s">
        <v>121</v>
      </c>
      <c r="AS9" s="897" t="s">
        <v>51</v>
      </c>
      <c r="AT9" s="896" t="s">
        <v>121</v>
      </c>
      <c r="AU9" s="897" t="s">
        <v>51</v>
      </c>
      <c r="AV9" s="896" t="s">
        <v>121</v>
      </c>
      <c r="AW9" s="897" t="s">
        <v>51</v>
      </c>
      <c r="AX9" s="896" t="s">
        <v>121</v>
      </c>
      <c r="AY9" s="897" t="s">
        <v>51</v>
      </c>
      <c r="AZ9" s="2991"/>
      <c r="BA9" s="4597"/>
      <c r="BB9" s="4597"/>
      <c r="BC9" s="4598"/>
      <c r="BD9" s="2991"/>
      <c r="BE9" s="2975"/>
      <c r="BF9" s="2526" t="s">
        <v>50</v>
      </c>
      <c r="BG9" s="898" t="s">
        <v>51</v>
      </c>
      <c r="BH9" s="2526" t="s">
        <v>50</v>
      </c>
      <c r="BI9" s="898" t="s">
        <v>51</v>
      </c>
      <c r="BJ9" s="4587"/>
    </row>
    <row r="10" spans="1:68" ht="2.65" customHeight="1" x14ac:dyDescent="0.2">
      <c r="A10" s="899"/>
      <c r="B10" s="93"/>
      <c r="C10" s="899"/>
      <c r="D10" s="899"/>
      <c r="E10" s="93"/>
      <c r="F10" s="899"/>
      <c r="G10" s="899"/>
      <c r="H10" s="93"/>
      <c r="I10" s="899"/>
      <c r="J10" s="2071"/>
      <c r="K10" s="93"/>
      <c r="L10" s="705"/>
      <c r="M10" s="93"/>
      <c r="N10" s="162"/>
      <c r="O10" s="705"/>
      <c r="P10" s="2091"/>
      <c r="Q10" s="705"/>
      <c r="R10" s="93"/>
      <c r="S10" s="93"/>
      <c r="T10" s="1583"/>
      <c r="U10" s="1583"/>
      <c r="V10" s="2430"/>
      <c r="W10" s="705"/>
      <c r="X10" s="900"/>
      <c r="Y10" s="900"/>
      <c r="Z10" s="2091"/>
      <c r="AA10" s="705"/>
      <c r="AB10" s="93"/>
      <c r="AC10" s="901"/>
      <c r="AD10" s="902"/>
      <c r="AE10" s="903"/>
      <c r="AF10" s="93"/>
      <c r="AG10" s="901"/>
      <c r="AH10" s="93"/>
      <c r="AI10" s="901"/>
      <c r="AJ10" s="93"/>
      <c r="AK10" s="901"/>
      <c r="AL10" s="93"/>
      <c r="AM10" s="901"/>
      <c r="AN10" s="93"/>
      <c r="AO10" s="901"/>
      <c r="AP10" s="93"/>
      <c r="AQ10" s="901"/>
      <c r="AR10" s="93"/>
      <c r="AS10" s="901"/>
      <c r="AT10" s="93"/>
      <c r="AU10" s="901"/>
      <c r="AV10" s="93"/>
      <c r="AW10" s="901"/>
      <c r="AX10" s="93"/>
      <c r="AY10" s="901"/>
      <c r="AZ10" s="904"/>
      <c r="BA10" s="1548"/>
      <c r="BB10" s="1548"/>
      <c r="BC10" s="905"/>
      <c r="BD10" s="2108"/>
      <c r="BE10" s="2108"/>
      <c r="BF10" s="906"/>
      <c r="BG10" s="907"/>
      <c r="BH10" s="906"/>
      <c r="BI10" s="907"/>
      <c r="BJ10" s="908"/>
    </row>
    <row r="11" spans="1:68" ht="3.6" customHeight="1" x14ac:dyDescent="0.2">
      <c r="A11" s="899"/>
      <c r="B11" s="93"/>
      <c r="C11" s="899"/>
      <c r="D11" s="899"/>
      <c r="E11" s="93"/>
      <c r="F11" s="899"/>
      <c r="G11" s="899"/>
      <c r="H11" s="93"/>
      <c r="I11" s="899"/>
      <c r="J11" s="2071"/>
      <c r="K11" s="93"/>
      <c r="L11" s="705"/>
      <c r="M11" s="93"/>
      <c r="N11" s="162"/>
      <c r="O11" s="705"/>
      <c r="P11" s="2091"/>
      <c r="Q11" s="705"/>
      <c r="R11" s="93"/>
      <c r="S11" s="93"/>
      <c r="T11" s="1583"/>
      <c r="U11" s="1583"/>
      <c r="V11" s="2430"/>
      <c r="W11" s="705"/>
      <c r="X11" s="900"/>
      <c r="Y11" s="900"/>
      <c r="Z11" s="2091"/>
      <c r="AA11" s="705"/>
      <c r="AB11" s="93"/>
      <c r="AC11" s="901"/>
      <c r="AD11" s="902"/>
      <c r="AE11" s="903"/>
      <c r="AF11" s="93"/>
      <c r="AG11" s="901"/>
      <c r="AH11" s="93"/>
      <c r="AI11" s="901"/>
      <c r="AJ11" s="93"/>
      <c r="AK11" s="901"/>
      <c r="AL11" s="93"/>
      <c r="AM11" s="901"/>
      <c r="AN11" s="93"/>
      <c r="AO11" s="901"/>
      <c r="AP11" s="93"/>
      <c r="AQ11" s="901"/>
      <c r="AR11" s="93"/>
      <c r="AS11" s="901"/>
      <c r="AT11" s="93"/>
      <c r="AU11" s="901"/>
      <c r="AV11" s="93"/>
      <c r="AW11" s="901"/>
      <c r="AX11" s="93"/>
      <c r="AY11" s="901"/>
      <c r="AZ11" s="904"/>
      <c r="BA11" s="1548"/>
      <c r="BB11" s="1548"/>
      <c r="BC11" s="905"/>
      <c r="BD11" s="2108"/>
      <c r="BE11" s="2108"/>
      <c r="BF11" s="906"/>
      <c r="BG11" s="907"/>
      <c r="BH11" s="906"/>
      <c r="BI11" s="907"/>
      <c r="BJ11" s="908"/>
    </row>
    <row r="12" spans="1:68" ht="1.5" customHeight="1" x14ac:dyDescent="0.2">
      <c r="A12" s="899"/>
      <c r="B12" s="93"/>
      <c r="C12" s="899"/>
      <c r="D12" s="899"/>
      <c r="E12" s="93"/>
      <c r="F12" s="899"/>
      <c r="G12" s="899"/>
      <c r="H12" s="93"/>
      <c r="I12" s="899"/>
      <c r="J12" s="2071"/>
      <c r="K12" s="93"/>
      <c r="L12" s="705"/>
      <c r="M12" s="93"/>
      <c r="N12" s="162"/>
      <c r="O12" s="705"/>
      <c r="P12" s="2091"/>
      <c r="Q12" s="705"/>
      <c r="R12" s="93"/>
      <c r="S12" s="93"/>
      <c r="T12" s="1583"/>
      <c r="U12" s="1583"/>
      <c r="V12" s="2430"/>
      <c r="W12" s="705"/>
      <c r="X12" s="900"/>
      <c r="Y12" s="900"/>
      <c r="Z12" s="2091"/>
      <c r="AA12" s="705"/>
      <c r="AB12" s="93"/>
      <c r="AC12" s="901"/>
      <c r="AD12" s="902"/>
      <c r="AE12" s="903"/>
      <c r="AF12" s="93"/>
      <c r="AG12" s="901"/>
      <c r="AH12" s="93"/>
      <c r="AI12" s="901"/>
      <c r="AJ12" s="93"/>
      <c r="AK12" s="901"/>
      <c r="AL12" s="93"/>
      <c r="AM12" s="901"/>
      <c r="AN12" s="93"/>
      <c r="AO12" s="901"/>
      <c r="AP12" s="93"/>
      <c r="AQ12" s="901"/>
      <c r="AR12" s="93"/>
      <c r="AS12" s="901"/>
      <c r="AT12" s="93"/>
      <c r="AU12" s="901"/>
      <c r="AV12" s="93"/>
      <c r="AW12" s="901"/>
      <c r="AX12" s="93"/>
      <c r="AY12" s="901"/>
      <c r="AZ12" s="904"/>
      <c r="BA12" s="1548"/>
      <c r="BB12" s="1548"/>
      <c r="BC12" s="905"/>
      <c r="BD12" s="2108"/>
      <c r="BE12" s="2108"/>
      <c r="BF12" s="906"/>
      <c r="BG12" s="907"/>
      <c r="BH12" s="906"/>
      <c r="BI12" s="907"/>
      <c r="BJ12" s="908"/>
    </row>
    <row r="13" spans="1:68" ht="16.5" hidden="1" customHeight="1" x14ac:dyDescent="0.2">
      <c r="A13" s="899"/>
      <c r="B13" s="93"/>
      <c r="C13" s="899"/>
      <c r="D13" s="899"/>
      <c r="E13" s="93"/>
      <c r="F13" s="899"/>
      <c r="G13" s="899"/>
      <c r="H13" s="93"/>
      <c r="I13" s="899"/>
      <c r="J13" s="2071"/>
      <c r="K13" s="93"/>
      <c r="L13" s="705"/>
      <c r="M13" s="94"/>
      <c r="N13" s="163"/>
      <c r="O13" s="705"/>
      <c r="P13" s="2091"/>
      <c r="Q13" s="705"/>
      <c r="R13" s="93"/>
      <c r="S13" s="93"/>
      <c r="T13" s="1583"/>
      <c r="U13" s="1583"/>
      <c r="V13" s="2430"/>
      <c r="W13" s="705"/>
      <c r="X13" s="900"/>
      <c r="Y13" s="900"/>
      <c r="Z13" s="2091"/>
      <c r="AA13" s="705"/>
      <c r="AB13" s="93"/>
      <c r="AC13" s="901"/>
      <c r="AD13" s="902"/>
      <c r="AE13" s="903"/>
      <c r="AF13" s="93"/>
      <c r="AG13" s="901"/>
      <c r="AH13" s="93"/>
      <c r="AI13" s="901"/>
      <c r="AJ13" s="93"/>
      <c r="AK13" s="901"/>
      <c r="AL13" s="93"/>
      <c r="AM13" s="901"/>
      <c r="AN13" s="93"/>
      <c r="AO13" s="901"/>
      <c r="AP13" s="93"/>
      <c r="AQ13" s="901"/>
      <c r="AR13" s="93"/>
      <c r="AS13" s="901"/>
      <c r="AT13" s="93"/>
      <c r="AU13" s="901"/>
      <c r="AV13" s="93"/>
      <c r="AW13" s="901"/>
      <c r="AX13" s="93"/>
      <c r="AY13" s="901"/>
      <c r="AZ13" s="904"/>
      <c r="BA13" s="1548"/>
      <c r="BB13" s="1548"/>
      <c r="BC13" s="905"/>
      <c r="BD13" s="2108"/>
      <c r="BE13" s="2108"/>
      <c r="BF13" s="906"/>
      <c r="BG13" s="907"/>
      <c r="BH13" s="906"/>
      <c r="BI13" s="907"/>
      <c r="BJ13" s="908"/>
    </row>
    <row r="14" spans="1:68" ht="26.25" customHeight="1" x14ac:dyDescent="0.2">
      <c r="A14" s="2557">
        <v>3</v>
      </c>
      <c r="B14" s="44" t="s">
        <v>1676</v>
      </c>
      <c r="C14" s="44"/>
      <c r="D14" s="44"/>
      <c r="E14" s="44"/>
      <c r="F14" s="44"/>
      <c r="G14" s="44"/>
      <c r="H14" s="44"/>
      <c r="I14" s="44"/>
      <c r="J14" s="2072"/>
      <c r="K14" s="45"/>
      <c r="L14" s="46"/>
      <c r="M14" s="46"/>
      <c r="N14" s="909"/>
      <c r="O14" s="45"/>
      <c r="P14" s="46"/>
      <c r="Q14" s="45"/>
      <c r="R14" s="46"/>
      <c r="S14" s="45"/>
      <c r="T14" s="45"/>
      <c r="U14" s="45"/>
      <c r="V14" s="45"/>
      <c r="W14" s="45"/>
      <c r="X14" s="910"/>
      <c r="Y14" s="910"/>
      <c r="Z14" s="46"/>
      <c r="AA14" s="45"/>
      <c r="AB14" s="44"/>
      <c r="AC14" s="272"/>
      <c r="AD14" s="44"/>
      <c r="AE14" s="272"/>
      <c r="AF14" s="44"/>
      <c r="AG14" s="272"/>
      <c r="AH14" s="44"/>
      <c r="AI14" s="272"/>
      <c r="AJ14" s="44"/>
      <c r="AK14" s="272"/>
      <c r="AL14" s="44"/>
      <c r="AM14" s="272"/>
      <c r="AN14" s="44"/>
      <c r="AO14" s="272"/>
      <c r="AP14" s="44"/>
      <c r="AQ14" s="272"/>
      <c r="AR14" s="44"/>
      <c r="AS14" s="272"/>
      <c r="AT14" s="44"/>
      <c r="AU14" s="272"/>
      <c r="AV14" s="44"/>
      <c r="AW14" s="272"/>
      <c r="AX14" s="44"/>
      <c r="AY14" s="272"/>
      <c r="AZ14" s="44"/>
      <c r="BA14" s="1549"/>
      <c r="BB14" s="1549"/>
      <c r="BC14" s="911"/>
      <c r="BD14" s="44"/>
      <c r="BE14" s="44"/>
      <c r="BF14" s="44"/>
      <c r="BG14" s="272"/>
      <c r="BH14" s="44"/>
      <c r="BI14" s="272"/>
      <c r="BJ14" s="44"/>
      <c r="BK14" s="1"/>
      <c r="BL14" s="1"/>
      <c r="BM14" s="1"/>
      <c r="BN14" s="1"/>
      <c r="BO14" s="1"/>
      <c r="BP14" s="1"/>
    </row>
    <row r="15" spans="1:68" ht="32.25" customHeight="1" x14ac:dyDescent="0.2">
      <c r="A15" s="912"/>
      <c r="B15" s="913">
        <v>11</v>
      </c>
      <c r="C15" s="456" t="s">
        <v>1677</v>
      </c>
      <c r="D15" s="456"/>
      <c r="E15" s="456"/>
      <c r="F15" s="456"/>
      <c r="G15" s="47"/>
      <c r="H15" s="47"/>
      <c r="I15" s="47"/>
      <c r="J15" s="616"/>
      <c r="K15" s="48"/>
      <c r="L15" s="49"/>
      <c r="M15" s="49"/>
      <c r="N15" s="641"/>
      <c r="O15" s="48"/>
      <c r="P15" s="49"/>
      <c r="Q15" s="48"/>
      <c r="R15" s="49"/>
      <c r="S15" s="48"/>
      <c r="T15" s="48"/>
      <c r="U15" s="48"/>
      <c r="V15" s="48"/>
      <c r="W15" s="48"/>
      <c r="X15" s="914"/>
      <c r="Y15" s="914"/>
      <c r="Z15" s="49"/>
      <c r="AA15" s="48"/>
      <c r="AB15" s="47"/>
      <c r="AC15" s="157"/>
      <c r="AD15" s="47"/>
      <c r="AE15" s="157"/>
      <c r="AF15" s="47"/>
      <c r="AG15" s="157"/>
      <c r="AH15" s="47"/>
      <c r="AI15" s="157"/>
      <c r="AJ15" s="47"/>
      <c r="AK15" s="157"/>
      <c r="AL15" s="47"/>
      <c r="AM15" s="157"/>
      <c r="AN15" s="47"/>
      <c r="AO15" s="157"/>
      <c r="AP15" s="47"/>
      <c r="AQ15" s="157"/>
      <c r="AR15" s="47"/>
      <c r="AS15" s="157"/>
      <c r="AT15" s="47"/>
      <c r="AU15" s="157"/>
      <c r="AV15" s="47"/>
      <c r="AW15" s="157"/>
      <c r="AX15" s="47"/>
      <c r="AY15" s="157"/>
      <c r="AZ15" s="47"/>
      <c r="BA15" s="1550"/>
      <c r="BB15" s="1550"/>
      <c r="BC15" s="915"/>
      <c r="BD15" s="47"/>
      <c r="BE15" s="47"/>
      <c r="BF15" s="47"/>
      <c r="BG15" s="157"/>
      <c r="BH15" s="47"/>
      <c r="BI15" s="157"/>
      <c r="BJ15" s="47"/>
      <c r="BK15" s="1"/>
      <c r="BL15" s="1"/>
      <c r="BM15" s="1"/>
      <c r="BN15" s="1"/>
      <c r="BO15" s="1"/>
      <c r="BP15" s="1"/>
    </row>
    <row r="16" spans="1:68" ht="35.25" customHeight="1" x14ac:dyDescent="0.2">
      <c r="A16" s="916"/>
      <c r="B16" s="917"/>
      <c r="C16" s="918"/>
      <c r="D16" s="918"/>
      <c r="E16" s="918"/>
      <c r="F16" s="919"/>
      <c r="G16" s="920">
        <v>35</v>
      </c>
      <c r="H16" s="50" t="s">
        <v>1678</v>
      </c>
      <c r="I16" s="50"/>
      <c r="J16" s="1376"/>
      <c r="K16" s="412"/>
      <c r="L16" s="2520"/>
      <c r="M16" s="2520"/>
      <c r="N16" s="643"/>
      <c r="O16" s="412"/>
      <c r="P16" s="2520"/>
      <c r="Q16" s="412"/>
      <c r="R16" s="2520"/>
      <c r="S16" s="412"/>
      <c r="T16" s="412"/>
      <c r="U16" s="412"/>
      <c r="V16" s="412"/>
      <c r="W16" s="412"/>
      <c r="X16" s="921"/>
      <c r="Y16" s="922"/>
      <c r="Z16" s="2520"/>
      <c r="AA16" s="412"/>
      <c r="AB16" s="50"/>
      <c r="AC16" s="411"/>
      <c r="AD16" s="50"/>
      <c r="AE16" s="411"/>
      <c r="AF16" s="50"/>
      <c r="AG16" s="411"/>
      <c r="AH16" s="50"/>
      <c r="AI16" s="411"/>
      <c r="AJ16" s="4605"/>
      <c r="AK16" s="4606"/>
      <c r="AL16" s="50"/>
      <c r="AM16" s="4605"/>
      <c r="AN16" s="4606"/>
      <c r="AO16" s="4606"/>
      <c r="AP16" s="4606"/>
      <c r="AQ16" s="411"/>
      <c r="AR16" s="50"/>
      <c r="AS16" s="411"/>
      <c r="AT16" s="50"/>
      <c r="AU16" s="411"/>
      <c r="AV16" s="50"/>
      <c r="AW16" s="411"/>
      <c r="AX16" s="50"/>
      <c r="AY16" s="411"/>
      <c r="AZ16" s="50"/>
      <c r="BA16" s="1551"/>
      <c r="BB16" s="1551"/>
      <c r="BC16" s="923"/>
      <c r="BD16" s="50"/>
      <c r="BE16" s="50"/>
      <c r="BF16" s="50"/>
      <c r="BG16" s="411"/>
      <c r="BH16" s="50"/>
      <c r="BI16" s="411"/>
      <c r="BJ16" s="50"/>
      <c r="BK16" s="1"/>
      <c r="BL16" s="1"/>
      <c r="BM16" s="1"/>
      <c r="BN16" s="1"/>
      <c r="BO16" s="1"/>
      <c r="BP16" s="1"/>
    </row>
    <row r="17" spans="1:68" ht="125.25" customHeight="1" x14ac:dyDescent="0.2">
      <c r="A17" s="924"/>
      <c r="B17" s="931"/>
      <c r="C17" s="689"/>
      <c r="D17" s="689"/>
      <c r="E17" s="689"/>
      <c r="F17" s="932"/>
      <c r="G17" s="927"/>
      <c r="H17" s="928"/>
      <c r="I17" s="929"/>
      <c r="J17" s="2107">
        <v>127</v>
      </c>
      <c r="K17" s="2386" t="s">
        <v>1679</v>
      </c>
      <c r="L17" s="2105" t="s">
        <v>146</v>
      </c>
      <c r="M17" s="2107">
        <v>1</v>
      </c>
      <c r="N17" s="2530">
        <v>1</v>
      </c>
      <c r="O17" s="2605" t="s">
        <v>1680</v>
      </c>
      <c r="P17" s="2600">
        <v>132</v>
      </c>
      <c r="Q17" s="3054" t="s">
        <v>1681</v>
      </c>
      <c r="R17" s="2276">
        <v>0.18</v>
      </c>
      <c r="S17" s="4594">
        <v>100000000</v>
      </c>
      <c r="T17" s="2605" t="s">
        <v>1682</v>
      </c>
      <c r="U17" s="2224" t="s">
        <v>1683</v>
      </c>
      <c r="V17" s="2200" t="s">
        <v>1684</v>
      </c>
      <c r="W17" s="2509">
        <v>18000000</v>
      </c>
      <c r="X17" s="930">
        <v>18000000</v>
      </c>
      <c r="Y17" s="930">
        <v>18000000</v>
      </c>
      <c r="Z17" s="3090">
        <v>61</v>
      </c>
      <c r="AA17" s="3054" t="s">
        <v>1685</v>
      </c>
      <c r="AB17" s="3090">
        <v>64149</v>
      </c>
      <c r="AC17" s="2826">
        <f>SUM(AB17*0.71)</f>
        <v>45545.79</v>
      </c>
      <c r="AD17" s="3090">
        <v>72224</v>
      </c>
      <c r="AE17" s="2826">
        <v>51279</v>
      </c>
      <c r="AF17" s="3090">
        <v>27477</v>
      </c>
      <c r="AG17" s="2826">
        <v>19509</v>
      </c>
      <c r="AH17" s="3090">
        <v>86843</v>
      </c>
      <c r="AI17" s="2826">
        <v>61659</v>
      </c>
      <c r="AJ17" s="3090">
        <v>236429</v>
      </c>
      <c r="AK17" s="2826">
        <v>167865</v>
      </c>
      <c r="AL17" s="3090">
        <v>75612</v>
      </c>
      <c r="AM17" s="2826">
        <v>57783</v>
      </c>
      <c r="AN17" s="3090">
        <v>13208</v>
      </c>
      <c r="AO17" s="2826">
        <v>9377.68</v>
      </c>
      <c r="AP17" s="3090">
        <v>2145</v>
      </c>
      <c r="AQ17" s="2826">
        <v>1522.9499999999998</v>
      </c>
      <c r="AR17" s="3090">
        <v>413</v>
      </c>
      <c r="AS17" s="2826">
        <v>293.22999999999996</v>
      </c>
      <c r="AT17" s="3090">
        <v>520</v>
      </c>
      <c r="AU17" s="2826">
        <v>369.2</v>
      </c>
      <c r="AV17" s="3090">
        <v>16897</v>
      </c>
      <c r="AW17" s="2826">
        <v>11996.869999999999</v>
      </c>
      <c r="AX17" s="3090">
        <v>75612</v>
      </c>
      <c r="AY17" s="2826">
        <v>53684.52</v>
      </c>
      <c r="AZ17" s="3090">
        <v>14</v>
      </c>
      <c r="BA17" s="4608">
        <f>+X17+X18+X19</f>
        <v>70813333</v>
      </c>
      <c r="BB17" s="4608">
        <f>SUM(Y17:Y19)</f>
        <v>70813333</v>
      </c>
      <c r="BC17" s="3098">
        <f>BB17/BB17</f>
        <v>1</v>
      </c>
      <c r="BD17" s="3090">
        <v>61</v>
      </c>
      <c r="BE17" s="3090" t="s">
        <v>1686</v>
      </c>
      <c r="BF17" s="3080">
        <v>42583</v>
      </c>
      <c r="BG17" s="2578">
        <v>42583</v>
      </c>
      <c r="BH17" s="3080">
        <v>42735</v>
      </c>
      <c r="BI17" s="2578">
        <v>42735</v>
      </c>
      <c r="BJ17" s="4607" t="s">
        <v>1687</v>
      </c>
    </row>
    <row r="18" spans="1:68" ht="99.75" x14ac:dyDescent="0.2">
      <c r="A18" s="924"/>
      <c r="B18" s="931"/>
      <c r="C18" s="689"/>
      <c r="D18" s="689"/>
      <c r="E18" s="689"/>
      <c r="F18" s="932"/>
      <c r="G18" s="931"/>
      <c r="H18" s="689"/>
      <c r="I18" s="932"/>
      <c r="J18" s="2107">
        <v>128</v>
      </c>
      <c r="K18" s="2386" t="s">
        <v>1688</v>
      </c>
      <c r="L18" s="2105" t="s">
        <v>146</v>
      </c>
      <c r="M18" s="2107">
        <v>1</v>
      </c>
      <c r="N18" s="2530">
        <v>1</v>
      </c>
      <c r="O18" s="2987"/>
      <c r="P18" s="2601"/>
      <c r="Q18" s="3055"/>
      <c r="R18" s="2276">
        <v>0.25</v>
      </c>
      <c r="S18" s="4595"/>
      <c r="T18" s="2987"/>
      <c r="U18" s="2224" t="s">
        <v>1689</v>
      </c>
      <c r="V18" s="2200" t="s">
        <v>1690</v>
      </c>
      <c r="W18" s="2509">
        <v>25000000</v>
      </c>
      <c r="X18" s="930">
        <v>14890000</v>
      </c>
      <c r="Y18" s="930">
        <v>14890000</v>
      </c>
      <c r="Z18" s="4007"/>
      <c r="AA18" s="3055"/>
      <c r="AB18" s="4007"/>
      <c r="AC18" s="2827"/>
      <c r="AD18" s="4007"/>
      <c r="AE18" s="2827"/>
      <c r="AF18" s="4007"/>
      <c r="AG18" s="2827"/>
      <c r="AH18" s="4007"/>
      <c r="AI18" s="2827"/>
      <c r="AJ18" s="4007"/>
      <c r="AK18" s="2827"/>
      <c r="AL18" s="4007"/>
      <c r="AM18" s="2827"/>
      <c r="AN18" s="4007"/>
      <c r="AO18" s="2827"/>
      <c r="AP18" s="4007"/>
      <c r="AQ18" s="2827"/>
      <c r="AR18" s="4007"/>
      <c r="AS18" s="2827"/>
      <c r="AT18" s="4007"/>
      <c r="AU18" s="2827"/>
      <c r="AV18" s="4007"/>
      <c r="AW18" s="2827"/>
      <c r="AX18" s="4007"/>
      <c r="AY18" s="2827"/>
      <c r="AZ18" s="4007"/>
      <c r="BA18" s="4609"/>
      <c r="BB18" s="4609"/>
      <c r="BC18" s="3234"/>
      <c r="BD18" s="4007"/>
      <c r="BE18" s="4007"/>
      <c r="BF18" s="3081"/>
      <c r="BG18" s="2579"/>
      <c r="BH18" s="3081"/>
      <c r="BI18" s="2579"/>
      <c r="BJ18" s="4607"/>
      <c r="BL18" s="2302"/>
    </row>
    <row r="19" spans="1:68" ht="105" customHeight="1" x14ac:dyDescent="0.2">
      <c r="A19" s="924"/>
      <c r="B19" s="936"/>
      <c r="C19" s="937"/>
      <c r="D19" s="937"/>
      <c r="E19" s="937"/>
      <c r="F19" s="938"/>
      <c r="G19" s="936"/>
      <c r="H19" s="937"/>
      <c r="I19" s="938"/>
      <c r="J19" s="2105">
        <v>129</v>
      </c>
      <c r="K19" s="2386" t="s">
        <v>1691</v>
      </c>
      <c r="L19" s="2105" t="s">
        <v>146</v>
      </c>
      <c r="M19" s="2107">
        <v>6</v>
      </c>
      <c r="N19" s="2530">
        <v>6</v>
      </c>
      <c r="O19" s="2988"/>
      <c r="P19" s="2636"/>
      <c r="Q19" s="3056"/>
      <c r="R19" s="2276">
        <v>0.56999999999999995</v>
      </c>
      <c r="S19" s="4596"/>
      <c r="T19" s="2988"/>
      <c r="U19" s="2224" t="s">
        <v>1692</v>
      </c>
      <c r="V19" s="2200" t="s">
        <v>1693</v>
      </c>
      <c r="W19" s="2509">
        <v>57000000</v>
      </c>
      <c r="X19" s="930">
        <v>37923333</v>
      </c>
      <c r="Y19" s="930">
        <v>37923333</v>
      </c>
      <c r="Z19" s="3091"/>
      <c r="AA19" s="3056"/>
      <c r="AB19" s="3091"/>
      <c r="AC19" s="2862"/>
      <c r="AD19" s="3091"/>
      <c r="AE19" s="2862"/>
      <c r="AF19" s="3091"/>
      <c r="AG19" s="2862"/>
      <c r="AH19" s="3091"/>
      <c r="AI19" s="2862"/>
      <c r="AJ19" s="3091"/>
      <c r="AK19" s="2862"/>
      <c r="AL19" s="3091"/>
      <c r="AM19" s="2862"/>
      <c r="AN19" s="3091"/>
      <c r="AO19" s="2862"/>
      <c r="AP19" s="3091"/>
      <c r="AQ19" s="2862"/>
      <c r="AR19" s="3091"/>
      <c r="AS19" s="2862"/>
      <c r="AT19" s="3091"/>
      <c r="AU19" s="2862"/>
      <c r="AV19" s="3091"/>
      <c r="AW19" s="2862"/>
      <c r="AX19" s="3091"/>
      <c r="AY19" s="2862"/>
      <c r="AZ19" s="3091"/>
      <c r="BA19" s="4610"/>
      <c r="BB19" s="4610"/>
      <c r="BC19" s="3099"/>
      <c r="BD19" s="3091"/>
      <c r="BE19" s="3091"/>
      <c r="BF19" s="3082"/>
      <c r="BG19" s="2580"/>
      <c r="BH19" s="3082"/>
      <c r="BI19" s="2580"/>
      <c r="BJ19" s="4607"/>
    </row>
    <row r="20" spans="1:68" ht="36" customHeight="1" x14ac:dyDescent="0.2">
      <c r="A20" s="916"/>
      <c r="B20" s="913">
        <v>12</v>
      </c>
      <c r="C20" s="456" t="s">
        <v>1694</v>
      </c>
      <c r="D20" s="456"/>
      <c r="E20" s="456"/>
      <c r="F20" s="456"/>
      <c r="G20" s="47"/>
      <c r="H20" s="47"/>
      <c r="I20" s="47"/>
      <c r="J20" s="616"/>
      <c r="K20" s="48"/>
      <c r="L20" s="49"/>
      <c r="M20" s="49"/>
      <c r="N20" s="641"/>
      <c r="O20" s="48"/>
      <c r="P20" s="49"/>
      <c r="Q20" s="48"/>
      <c r="R20" s="49"/>
      <c r="S20" s="48"/>
      <c r="T20" s="48"/>
      <c r="U20" s="48"/>
      <c r="V20" s="48"/>
      <c r="W20" s="939"/>
      <c r="X20" s="940"/>
      <c r="Y20" s="940"/>
      <c r="Z20" s="941"/>
      <c r="AA20" s="48"/>
      <c r="AB20" s="48"/>
      <c r="AC20" s="914"/>
      <c r="AD20" s="48"/>
      <c r="AE20" s="914"/>
      <c r="AF20" s="48"/>
      <c r="AG20" s="914"/>
      <c r="AH20" s="48"/>
      <c r="AI20" s="914"/>
      <c r="AJ20" s="48"/>
      <c r="AK20" s="914"/>
      <c r="AL20" s="48"/>
      <c r="AM20" s="914"/>
      <c r="AN20" s="48"/>
      <c r="AO20" s="914"/>
      <c r="AP20" s="48"/>
      <c r="AQ20" s="914"/>
      <c r="AR20" s="48"/>
      <c r="AS20" s="914"/>
      <c r="AT20" s="48"/>
      <c r="AU20" s="914"/>
      <c r="AV20" s="48"/>
      <c r="AW20" s="914"/>
      <c r="AX20" s="48"/>
      <c r="AY20" s="914"/>
      <c r="AZ20" s="48"/>
      <c r="BA20" s="1552"/>
      <c r="BB20" s="1552"/>
      <c r="BC20" s="942"/>
      <c r="BD20" s="48"/>
      <c r="BE20" s="48"/>
      <c r="BF20" s="47"/>
      <c r="BG20" s="157"/>
      <c r="BH20" s="47"/>
      <c r="BI20" s="157"/>
      <c r="BJ20" s="47"/>
      <c r="BK20" s="1"/>
      <c r="BL20" s="1"/>
      <c r="BM20" s="1"/>
      <c r="BN20" s="1"/>
      <c r="BO20" s="1"/>
      <c r="BP20" s="1"/>
    </row>
    <row r="21" spans="1:68" ht="36" customHeight="1" x14ac:dyDescent="0.2">
      <c r="A21" s="916"/>
      <c r="B21" s="917"/>
      <c r="C21" s="918"/>
      <c r="D21" s="918"/>
      <c r="E21" s="918"/>
      <c r="F21" s="919"/>
      <c r="G21" s="920">
        <v>36</v>
      </c>
      <c r="H21" s="50" t="s">
        <v>1695</v>
      </c>
      <c r="I21" s="50"/>
      <c r="J21" s="1376"/>
      <c r="K21" s="412"/>
      <c r="L21" s="2520"/>
      <c r="M21" s="2520"/>
      <c r="N21" s="643"/>
      <c r="O21" s="412"/>
      <c r="P21" s="2520"/>
      <c r="Q21" s="412"/>
      <c r="R21" s="2520"/>
      <c r="S21" s="412"/>
      <c r="T21" s="412"/>
      <c r="U21" s="412"/>
      <c r="V21" s="412"/>
      <c r="W21" s="412"/>
      <c r="X21" s="921"/>
      <c r="Y21" s="921"/>
      <c r="Z21" s="2519"/>
      <c r="AA21" s="412"/>
      <c r="AB21" s="412"/>
      <c r="AC21" s="921"/>
      <c r="AD21" s="412"/>
      <c r="AE21" s="921"/>
      <c r="AF21" s="412"/>
      <c r="AG21" s="921"/>
      <c r="AH21" s="412"/>
      <c r="AI21" s="921"/>
      <c r="AJ21" s="412"/>
      <c r="AK21" s="921"/>
      <c r="AL21" s="412"/>
      <c r="AM21" s="921"/>
      <c r="AN21" s="412"/>
      <c r="AO21" s="921"/>
      <c r="AP21" s="412"/>
      <c r="AQ21" s="921"/>
      <c r="AR21" s="412"/>
      <c r="AS21" s="921"/>
      <c r="AT21" s="412"/>
      <c r="AU21" s="921"/>
      <c r="AV21" s="412"/>
      <c r="AW21" s="921"/>
      <c r="AX21" s="412"/>
      <c r="AY21" s="921"/>
      <c r="AZ21" s="412"/>
      <c r="BA21" s="1553"/>
      <c r="BB21" s="1553"/>
      <c r="BC21" s="943"/>
      <c r="BD21" s="412"/>
      <c r="BE21" s="412"/>
      <c r="BF21" s="412"/>
      <c r="BG21" s="921"/>
      <c r="BH21" s="50"/>
      <c r="BI21" s="411"/>
      <c r="BJ21" s="50"/>
      <c r="BK21" s="1"/>
      <c r="BL21" s="1"/>
      <c r="BM21" s="1"/>
      <c r="BN21" s="1"/>
      <c r="BO21" s="1"/>
      <c r="BP21" s="1"/>
    </row>
    <row r="22" spans="1:68" ht="75" customHeight="1" x14ac:dyDescent="0.2">
      <c r="A22" s="924"/>
      <c r="B22" s="931"/>
      <c r="C22" s="689"/>
      <c r="D22" s="689"/>
      <c r="E22" s="689"/>
      <c r="F22" s="932"/>
      <c r="G22" s="927"/>
      <c r="H22" s="928"/>
      <c r="I22" s="929"/>
      <c r="J22" s="2107">
        <v>130</v>
      </c>
      <c r="K22" s="2224" t="s">
        <v>1696</v>
      </c>
      <c r="L22" s="2116" t="s">
        <v>146</v>
      </c>
      <c r="M22" s="2116">
        <v>1</v>
      </c>
      <c r="N22" s="2530">
        <v>1</v>
      </c>
      <c r="O22" s="2605" t="s">
        <v>1697</v>
      </c>
      <c r="P22" s="2600">
        <v>133</v>
      </c>
      <c r="Q22" s="3054" t="s">
        <v>1698</v>
      </c>
      <c r="R22" s="944">
        <f>SUM(W22/W23*100)</f>
        <v>25</v>
      </c>
      <c r="S22" s="4613">
        <v>150000000</v>
      </c>
      <c r="T22" s="2605" t="s">
        <v>1699</v>
      </c>
      <c r="U22" s="2224" t="s">
        <v>1700</v>
      </c>
      <c r="V22" s="2200" t="s">
        <v>1701</v>
      </c>
      <c r="W22" s="2509">
        <v>30000000</v>
      </c>
      <c r="X22" s="945">
        <v>29734000</v>
      </c>
      <c r="Y22" s="945">
        <v>29734000</v>
      </c>
      <c r="Z22" s="3090">
        <v>61</v>
      </c>
      <c r="AA22" s="3054" t="s">
        <v>1702</v>
      </c>
      <c r="AB22" s="3090">
        <v>64149</v>
      </c>
      <c r="AC22" s="2826">
        <v>21003</v>
      </c>
      <c r="AD22" s="3090">
        <v>72224</v>
      </c>
      <c r="AE22" s="2826">
        <v>36021</v>
      </c>
      <c r="AF22" s="3090">
        <v>27477</v>
      </c>
      <c r="AG22" s="2826">
        <v>14523</v>
      </c>
      <c r="AH22" s="3090">
        <v>86843</v>
      </c>
      <c r="AI22" s="2826">
        <v>38225</v>
      </c>
      <c r="AJ22" s="3090">
        <v>236429</v>
      </c>
      <c r="AK22" s="2826">
        <v>125896</v>
      </c>
      <c r="AL22" s="3090">
        <v>75612</v>
      </c>
      <c r="AM22" s="2826">
        <v>39654</v>
      </c>
      <c r="AN22" s="3090">
        <v>13208</v>
      </c>
      <c r="AO22" s="2826">
        <v>7258</v>
      </c>
      <c r="AP22" s="3090">
        <v>2145</v>
      </c>
      <c r="AQ22" s="2826">
        <v>1200</v>
      </c>
      <c r="AR22" s="3090">
        <v>413</v>
      </c>
      <c r="AS22" s="2826">
        <v>241</v>
      </c>
      <c r="AT22" s="3090">
        <v>520</v>
      </c>
      <c r="AU22" s="2826">
        <v>304</v>
      </c>
      <c r="AV22" s="3090">
        <v>16897</v>
      </c>
      <c r="AW22" s="2826">
        <v>14523</v>
      </c>
      <c r="AX22" s="3090">
        <v>75612</v>
      </c>
      <c r="AY22" s="2826">
        <v>19515</v>
      </c>
      <c r="AZ22" s="3090">
        <v>16</v>
      </c>
      <c r="BA22" s="4608">
        <f>SUM(X22:X23)</f>
        <v>102517000</v>
      </c>
      <c r="BB22" s="4611">
        <f>SUM(Y22:Y23)</f>
        <v>98599565</v>
      </c>
      <c r="BC22" s="3098">
        <f>BB22/BA22</f>
        <v>0.96178745964084</v>
      </c>
      <c r="BD22" s="3090">
        <v>61</v>
      </c>
      <c r="BE22" s="3090" t="s">
        <v>1686</v>
      </c>
      <c r="BF22" s="3080">
        <v>42583</v>
      </c>
      <c r="BG22" s="2578">
        <v>42583</v>
      </c>
      <c r="BH22" s="3080">
        <v>42735</v>
      </c>
      <c r="BI22" s="2578">
        <v>42735</v>
      </c>
      <c r="BJ22" s="4607" t="s">
        <v>1687</v>
      </c>
    </row>
    <row r="23" spans="1:68" ht="103.5" customHeight="1" x14ac:dyDescent="0.2">
      <c r="A23" s="924"/>
      <c r="B23" s="931"/>
      <c r="C23" s="689"/>
      <c r="D23" s="689"/>
      <c r="E23" s="689"/>
      <c r="F23" s="932"/>
      <c r="G23" s="936"/>
      <c r="H23" s="937"/>
      <c r="I23" s="938"/>
      <c r="J23" s="2107">
        <v>131</v>
      </c>
      <c r="K23" s="2224" t="s">
        <v>1703</v>
      </c>
      <c r="L23" s="2116" t="s">
        <v>146</v>
      </c>
      <c r="M23" s="2116">
        <v>3</v>
      </c>
      <c r="N23" s="2530">
        <v>0</v>
      </c>
      <c r="O23" s="2988"/>
      <c r="P23" s="2636"/>
      <c r="Q23" s="3056"/>
      <c r="R23" s="944">
        <v>75</v>
      </c>
      <c r="S23" s="4614"/>
      <c r="T23" s="2988"/>
      <c r="U23" s="2224" t="s">
        <v>1704</v>
      </c>
      <c r="V23" s="2200" t="s">
        <v>1705</v>
      </c>
      <c r="W23" s="2509">
        <v>120000000</v>
      </c>
      <c r="X23" s="930">
        <v>72783000</v>
      </c>
      <c r="Y23" s="930">
        <v>68865565</v>
      </c>
      <c r="Z23" s="3091"/>
      <c r="AA23" s="3056"/>
      <c r="AB23" s="3091"/>
      <c r="AC23" s="2862"/>
      <c r="AD23" s="3091"/>
      <c r="AE23" s="2862"/>
      <c r="AF23" s="3091"/>
      <c r="AG23" s="2862"/>
      <c r="AH23" s="3091"/>
      <c r="AI23" s="2862"/>
      <c r="AJ23" s="3091"/>
      <c r="AK23" s="2862"/>
      <c r="AL23" s="3091"/>
      <c r="AM23" s="2862"/>
      <c r="AN23" s="3091"/>
      <c r="AO23" s="2862"/>
      <c r="AP23" s="3091"/>
      <c r="AQ23" s="2862"/>
      <c r="AR23" s="3091"/>
      <c r="AS23" s="2862"/>
      <c r="AT23" s="3091"/>
      <c r="AU23" s="2862"/>
      <c r="AV23" s="3091"/>
      <c r="AW23" s="2862"/>
      <c r="AX23" s="3091"/>
      <c r="AY23" s="2862"/>
      <c r="AZ23" s="4007"/>
      <c r="BA23" s="4610"/>
      <c r="BB23" s="4612"/>
      <c r="BC23" s="3099"/>
      <c r="BD23" s="3091"/>
      <c r="BE23" s="3091"/>
      <c r="BF23" s="3082"/>
      <c r="BG23" s="2580"/>
      <c r="BH23" s="3082"/>
      <c r="BI23" s="2580"/>
      <c r="BJ23" s="4607"/>
    </row>
    <row r="24" spans="1:68" ht="33.75" customHeight="1" x14ac:dyDescent="0.2">
      <c r="A24" s="916"/>
      <c r="B24" s="925"/>
      <c r="C24" s="519"/>
      <c r="D24" s="519"/>
      <c r="E24" s="519"/>
      <c r="F24" s="926"/>
      <c r="G24" s="920">
        <v>37</v>
      </c>
      <c r="H24" s="50" t="s">
        <v>1706</v>
      </c>
      <c r="I24" s="50"/>
      <c r="J24" s="1376"/>
      <c r="K24" s="412"/>
      <c r="L24" s="2520"/>
      <c r="M24" s="2520"/>
      <c r="N24" s="643"/>
      <c r="O24" s="412"/>
      <c r="P24" s="2520"/>
      <c r="Q24" s="412"/>
      <c r="R24" s="2520"/>
      <c r="S24" s="412"/>
      <c r="T24" s="412"/>
      <c r="U24" s="412"/>
      <c r="V24" s="412"/>
      <c r="W24" s="946"/>
      <c r="X24" s="947"/>
      <c r="Y24" s="947"/>
      <c r="Z24" s="2519"/>
      <c r="AA24" s="412"/>
      <c r="AB24" s="412"/>
      <c r="AC24" s="921"/>
      <c r="AD24" s="412"/>
      <c r="AE24" s="921"/>
      <c r="AF24" s="412"/>
      <c r="AG24" s="921"/>
      <c r="AH24" s="4605"/>
      <c r="AI24" s="4606"/>
      <c r="AJ24" s="412"/>
      <c r="AK24" s="4605"/>
      <c r="AL24" s="4606"/>
      <c r="AM24" s="4606"/>
      <c r="AN24" s="4606"/>
      <c r="AO24" s="921"/>
      <c r="AP24" s="412"/>
      <c r="AQ24" s="921"/>
      <c r="AR24" s="412"/>
      <c r="AS24" s="921"/>
      <c r="AT24" s="412"/>
      <c r="AU24" s="921"/>
      <c r="AV24" s="412"/>
      <c r="AW24" s="921"/>
      <c r="AX24" s="412"/>
      <c r="AY24" s="921"/>
      <c r="AZ24" s="412"/>
      <c r="BA24" s="1553"/>
      <c r="BB24" s="1553"/>
      <c r="BC24" s="943"/>
      <c r="BD24" s="412"/>
      <c r="BE24" s="412"/>
      <c r="BF24" s="50"/>
      <c r="BG24" s="411"/>
      <c r="BH24" s="50"/>
      <c r="BI24" s="411"/>
      <c r="BJ24" s="50"/>
      <c r="BK24" s="1"/>
      <c r="BL24" s="1"/>
      <c r="BM24" s="1"/>
      <c r="BN24" s="1"/>
      <c r="BO24" s="1"/>
      <c r="BP24" s="1"/>
    </row>
    <row r="25" spans="1:68" ht="71.25" x14ac:dyDescent="0.2">
      <c r="A25" s="455"/>
      <c r="B25" s="948"/>
      <c r="C25" s="454"/>
      <c r="D25" s="454"/>
      <c r="E25" s="454"/>
      <c r="F25" s="949"/>
      <c r="G25" s="1064"/>
      <c r="H25" s="950"/>
      <c r="I25" s="951"/>
      <c r="J25" s="2107">
        <v>132</v>
      </c>
      <c r="K25" s="2224" t="s">
        <v>1707</v>
      </c>
      <c r="L25" s="2116" t="s">
        <v>146</v>
      </c>
      <c r="M25" s="2116">
        <v>8</v>
      </c>
      <c r="N25" s="952">
        <v>12</v>
      </c>
      <c r="O25" s="2605" t="s">
        <v>1708</v>
      </c>
      <c r="P25" s="2600">
        <v>134</v>
      </c>
      <c r="Q25" s="3054" t="s">
        <v>1709</v>
      </c>
      <c r="R25" s="2205">
        <f>W25/$S$25</f>
        <v>0.20833333333333334</v>
      </c>
      <c r="S25" s="4613">
        <v>120000000</v>
      </c>
      <c r="T25" s="2605" t="s">
        <v>1710</v>
      </c>
      <c r="U25" s="2224" t="s">
        <v>1711</v>
      </c>
      <c r="V25" s="2200" t="s">
        <v>1712</v>
      </c>
      <c r="W25" s="953">
        <v>25000000</v>
      </c>
      <c r="X25" s="930">
        <v>0</v>
      </c>
      <c r="Y25" s="930">
        <v>0</v>
      </c>
      <c r="Z25" s="3090">
        <v>61</v>
      </c>
      <c r="AA25" s="3054" t="s">
        <v>1685</v>
      </c>
      <c r="AB25" s="3090">
        <v>64149</v>
      </c>
      <c r="AC25" s="2826">
        <f>SUM(AB25*0.3)</f>
        <v>19244.7</v>
      </c>
      <c r="AD25" s="3090">
        <v>72224</v>
      </c>
      <c r="AE25" s="2826">
        <f>SUM(AD25*0.3)</f>
        <v>21667.200000000001</v>
      </c>
      <c r="AF25" s="3090">
        <v>27477</v>
      </c>
      <c r="AG25" s="2826">
        <f>SUM(AF25*0.3)</f>
        <v>8243.1</v>
      </c>
      <c r="AH25" s="3090">
        <v>86843</v>
      </c>
      <c r="AI25" s="2826">
        <f>SUM(AH25*0.3)</f>
        <v>26052.899999999998</v>
      </c>
      <c r="AJ25" s="3090">
        <v>236429</v>
      </c>
      <c r="AK25" s="2826">
        <f>SUM(AJ25*0.3)</f>
        <v>70928.7</v>
      </c>
      <c r="AL25" s="3090">
        <v>75612</v>
      </c>
      <c r="AM25" s="2826">
        <f>SUM(AL25*0.3)</f>
        <v>22683.599999999999</v>
      </c>
      <c r="AN25" s="3090">
        <v>13208</v>
      </c>
      <c r="AO25" s="2826">
        <f>SUM(AN25*0.3)</f>
        <v>3962.3999999999996</v>
      </c>
      <c r="AP25" s="3090">
        <v>2145</v>
      </c>
      <c r="AQ25" s="2826">
        <f>SUM(AP25*0.3)</f>
        <v>643.5</v>
      </c>
      <c r="AR25" s="3090">
        <v>413</v>
      </c>
      <c r="AS25" s="2826">
        <f>SUM(AR25*0.3)</f>
        <v>123.89999999999999</v>
      </c>
      <c r="AT25" s="3090">
        <v>520</v>
      </c>
      <c r="AU25" s="2826">
        <f>SUM(AT25*0.3)</f>
        <v>156</v>
      </c>
      <c r="AV25" s="3090">
        <v>16897</v>
      </c>
      <c r="AW25" s="2826">
        <f>SUM(AV25*0.3)</f>
        <v>5069.0999999999995</v>
      </c>
      <c r="AX25" s="3090">
        <v>75612</v>
      </c>
      <c r="AY25" s="2826">
        <f>SUM(AX25*0.3)</f>
        <v>22683.599999999999</v>
      </c>
      <c r="AZ25" s="3090">
        <v>6</v>
      </c>
      <c r="BA25" s="4608">
        <f>SUM(X25:X28)</f>
        <v>35817000</v>
      </c>
      <c r="BB25" s="4608">
        <f>SUM(Y25:Y28)</f>
        <v>35817000</v>
      </c>
      <c r="BC25" s="3098">
        <f>BB25/BA25</f>
        <v>1</v>
      </c>
      <c r="BD25" s="3090">
        <v>61</v>
      </c>
      <c r="BE25" s="3090" t="s">
        <v>1686</v>
      </c>
      <c r="BF25" s="3080">
        <v>42583</v>
      </c>
      <c r="BG25" s="2578">
        <v>42583</v>
      </c>
      <c r="BH25" s="3080">
        <v>42735</v>
      </c>
      <c r="BI25" s="2578">
        <v>42735</v>
      </c>
      <c r="BJ25" s="4607" t="s">
        <v>1687</v>
      </c>
    </row>
    <row r="26" spans="1:68" ht="118.5" customHeight="1" x14ac:dyDescent="0.2">
      <c r="A26" s="455"/>
      <c r="B26" s="948"/>
      <c r="C26" s="454"/>
      <c r="D26" s="454"/>
      <c r="E26" s="454"/>
      <c r="F26" s="949"/>
      <c r="G26" s="948"/>
      <c r="H26" s="454"/>
      <c r="I26" s="949"/>
      <c r="J26" s="2107">
        <v>133</v>
      </c>
      <c r="K26" s="2224" t="s">
        <v>1713</v>
      </c>
      <c r="L26" s="2116" t="s">
        <v>146</v>
      </c>
      <c r="M26" s="2116">
        <v>12</v>
      </c>
      <c r="N26" s="952">
        <v>12</v>
      </c>
      <c r="O26" s="2987"/>
      <c r="P26" s="2601"/>
      <c r="Q26" s="3055"/>
      <c r="R26" s="2205">
        <f>W26/$S$25</f>
        <v>0.20833333333333334</v>
      </c>
      <c r="S26" s="4615"/>
      <c r="T26" s="2987"/>
      <c r="U26" s="2224" t="s">
        <v>1711</v>
      </c>
      <c r="V26" s="2200" t="s">
        <v>1714</v>
      </c>
      <c r="W26" s="953">
        <v>25000000</v>
      </c>
      <c r="X26" s="930">
        <v>8500000</v>
      </c>
      <c r="Y26" s="930">
        <v>8500000</v>
      </c>
      <c r="Z26" s="4007"/>
      <c r="AA26" s="3055"/>
      <c r="AB26" s="4007"/>
      <c r="AC26" s="2827"/>
      <c r="AD26" s="4007"/>
      <c r="AE26" s="2827"/>
      <c r="AF26" s="4007"/>
      <c r="AG26" s="2827"/>
      <c r="AH26" s="4007"/>
      <c r="AI26" s="2827"/>
      <c r="AJ26" s="4007"/>
      <c r="AK26" s="2827"/>
      <c r="AL26" s="4007"/>
      <c r="AM26" s="2827"/>
      <c r="AN26" s="4007"/>
      <c r="AO26" s="2827"/>
      <c r="AP26" s="4007"/>
      <c r="AQ26" s="2827"/>
      <c r="AR26" s="4007"/>
      <c r="AS26" s="2827"/>
      <c r="AT26" s="4007"/>
      <c r="AU26" s="2827"/>
      <c r="AV26" s="4007"/>
      <c r="AW26" s="2827"/>
      <c r="AX26" s="4007"/>
      <c r="AY26" s="2827"/>
      <c r="AZ26" s="4007"/>
      <c r="BA26" s="4609"/>
      <c r="BB26" s="4609"/>
      <c r="BC26" s="3234"/>
      <c r="BD26" s="4007"/>
      <c r="BE26" s="4007"/>
      <c r="BF26" s="3081"/>
      <c r="BG26" s="2579"/>
      <c r="BH26" s="3081"/>
      <c r="BI26" s="2579"/>
      <c r="BJ26" s="4607"/>
    </row>
    <row r="27" spans="1:68" ht="97.5" customHeight="1" x14ac:dyDescent="0.2">
      <c r="A27" s="455"/>
      <c r="B27" s="948"/>
      <c r="C27" s="454"/>
      <c r="D27" s="454"/>
      <c r="E27" s="454"/>
      <c r="F27" s="949"/>
      <c r="G27" s="948"/>
      <c r="H27" s="454"/>
      <c r="I27" s="949"/>
      <c r="J27" s="2107">
        <v>134</v>
      </c>
      <c r="K27" s="2224" t="s">
        <v>1715</v>
      </c>
      <c r="L27" s="2116" t="s">
        <v>146</v>
      </c>
      <c r="M27" s="2116">
        <v>4800</v>
      </c>
      <c r="N27" s="952">
        <v>3924</v>
      </c>
      <c r="O27" s="2987"/>
      <c r="P27" s="2601"/>
      <c r="Q27" s="3055"/>
      <c r="R27" s="2205">
        <f>W27/$S$25</f>
        <v>0.375</v>
      </c>
      <c r="S27" s="4615"/>
      <c r="T27" s="2987"/>
      <c r="U27" s="2224" t="s">
        <v>1716</v>
      </c>
      <c r="V27" s="2200" t="s">
        <v>1717</v>
      </c>
      <c r="W27" s="953">
        <v>45000000</v>
      </c>
      <c r="X27" s="930">
        <v>12650000</v>
      </c>
      <c r="Y27" s="930">
        <v>12650000</v>
      </c>
      <c r="Z27" s="4007"/>
      <c r="AA27" s="3055"/>
      <c r="AB27" s="4007"/>
      <c r="AC27" s="2827"/>
      <c r="AD27" s="4007"/>
      <c r="AE27" s="2827"/>
      <c r="AF27" s="4007"/>
      <c r="AG27" s="2827"/>
      <c r="AH27" s="4007"/>
      <c r="AI27" s="2827"/>
      <c r="AJ27" s="4007"/>
      <c r="AK27" s="2827"/>
      <c r="AL27" s="4007"/>
      <c r="AM27" s="2827"/>
      <c r="AN27" s="4007"/>
      <c r="AO27" s="2827"/>
      <c r="AP27" s="4007"/>
      <c r="AQ27" s="2827"/>
      <c r="AR27" s="4007"/>
      <c r="AS27" s="2827"/>
      <c r="AT27" s="4007"/>
      <c r="AU27" s="2827"/>
      <c r="AV27" s="4007"/>
      <c r="AW27" s="2827"/>
      <c r="AX27" s="4007"/>
      <c r="AY27" s="2827"/>
      <c r="AZ27" s="4007"/>
      <c r="BA27" s="4609"/>
      <c r="BB27" s="4609"/>
      <c r="BC27" s="3234"/>
      <c r="BD27" s="4007"/>
      <c r="BE27" s="4007"/>
      <c r="BF27" s="3081"/>
      <c r="BG27" s="2579"/>
      <c r="BH27" s="3081"/>
      <c r="BI27" s="2579"/>
      <c r="BJ27" s="4607"/>
    </row>
    <row r="28" spans="1:68" ht="82.5" customHeight="1" x14ac:dyDescent="0.2">
      <c r="A28" s="455"/>
      <c r="B28" s="948"/>
      <c r="C28" s="454"/>
      <c r="D28" s="454"/>
      <c r="E28" s="454"/>
      <c r="F28" s="949"/>
      <c r="G28" s="1065"/>
      <c r="H28" s="463"/>
      <c r="I28" s="954"/>
      <c r="J28" s="2107">
        <v>135</v>
      </c>
      <c r="K28" s="2224" t="s">
        <v>1718</v>
      </c>
      <c r="L28" s="2116" t="s">
        <v>146</v>
      </c>
      <c r="M28" s="2116">
        <v>12</v>
      </c>
      <c r="N28" s="952">
        <v>12</v>
      </c>
      <c r="O28" s="2988"/>
      <c r="P28" s="2636"/>
      <c r="Q28" s="3056"/>
      <c r="R28" s="2205">
        <f>W28/$S$25</f>
        <v>0.20833333333333334</v>
      </c>
      <c r="S28" s="4614"/>
      <c r="T28" s="2988"/>
      <c r="U28" s="2224" t="s">
        <v>1711</v>
      </c>
      <c r="V28" s="2200" t="s">
        <v>1719</v>
      </c>
      <c r="W28" s="953">
        <v>25000000</v>
      </c>
      <c r="X28" s="930">
        <v>14667000</v>
      </c>
      <c r="Y28" s="930">
        <v>14667000</v>
      </c>
      <c r="Z28" s="3091"/>
      <c r="AA28" s="3056"/>
      <c r="AB28" s="3091"/>
      <c r="AC28" s="2862"/>
      <c r="AD28" s="3091"/>
      <c r="AE28" s="2862"/>
      <c r="AF28" s="3091"/>
      <c r="AG28" s="2862"/>
      <c r="AH28" s="3091"/>
      <c r="AI28" s="2862"/>
      <c r="AJ28" s="3091"/>
      <c r="AK28" s="2862"/>
      <c r="AL28" s="3091"/>
      <c r="AM28" s="2862"/>
      <c r="AN28" s="3091"/>
      <c r="AO28" s="2862"/>
      <c r="AP28" s="3091"/>
      <c r="AQ28" s="2862"/>
      <c r="AR28" s="3091"/>
      <c r="AS28" s="2862"/>
      <c r="AT28" s="3091"/>
      <c r="AU28" s="2862"/>
      <c r="AV28" s="3091"/>
      <c r="AW28" s="2862"/>
      <c r="AX28" s="3091"/>
      <c r="AY28" s="2862"/>
      <c r="AZ28" s="3091"/>
      <c r="BA28" s="4610"/>
      <c r="BB28" s="4610"/>
      <c r="BC28" s="3099"/>
      <c r="BD28" s="3091"/>
      <c r="BE28" s="3091"/>
      <c r="BF28" s="3082"/>
      <c r="BG28" s="2580"/>
      <c r="BH28" s="3082"/>
      <c r="BI28" s="2580"/>
      <c r="BJ28" s="4607"/>
    </row>
    <row r="29" spans="1:68" ht="37.5" customHeight="1" x14ac:dyDescent="0.2">
      <c r="A29" s="916"/>
      <c r="B29" s="925"/>
      <c r="C29" s="519"/>
      <c r="D29" s="519"/>
      <c r="E29" s="519"/>
      <c r="F29" s="926"/>
      <c r="G29" s="920">
        <v>38</v>
      </c>
      <c r="H29" s="50" t="s">
        <v>1720</v>
      </c>
      <c r="I29" s="50"/>
      <c r="J29" s="1376"/>
      <c r="K29" s="412"/>
      <c r="L29" s="2520"/>
      <c r="M29" s="2520"/>
      <c r="N29" s="643"/>
      <c r="O29" s="412"/>
      <c r="P29" s="2520"/>
      <c r="Q29" s="412"/>
      <c r="R29" s="2520"/>
      <c r="S29" s="412"/>
      <c r="T29" s="412"/>
      <c r="U29" s="412"/>
      <c r="V29" s="412"/>
      <c r="W29" s="946"/>
      <c r="X29" s="947"/>
      <c r="Y29" s="947"/>
      <c r="Z29" s="2519"/>
      <c r="AA29" s="412"/>
      <c r="AB29" s="412"/>
      <c r="AC29" s="921"/>
      <c r="AD29" s="412"/>
      <c r="AE29" s="921"/>
      <c r="AF29" s="412"/>
      <c r="AG29" s="921"/>
      <c r="AH29" s="412"/>
      <c r="AI29" s="4606"/>
      <c r="AJ29" s="4606"/>
      <c r="AK29" s="921"/>
      <c r="AL29" s="4605"/>
      <c r="AM29" s="4606"/>
      <c r="AN29" s="4605"/>
      <c r="AO29" s="4606"/>
      <c r="AP29" s="412"/>
      <c r="AQ29" s="4605"/>
      <c r="AR29" s="4606"/>
      <c r="AS29" s="921"/>
      <c r="AT29" s="412"/>
      <c r="AU29" s="921"/>
      <c r="AV29" s="412"/>
      <c r="AW29" s="921"/>
      <c r="AX29" s="412"/>
      <c r="AY29" s="921"/>
      <c r="AZ29" s="412"/>
      <c r="BA29" s="1553"/>
      <c r="BB29" s="1553"/>
      <c r="BC29" s="943"/>
      <c r="BD29" s="412"/>
      <c r="BE29" s="412"/>
      <c r="BF29" s="50"/>
      <c r="BG29" s="411"/>
      <c r="BH29" s="50"/>
      <c r="BI29" s="411"/>
      <c r="BJ29" s="50"/>
      <c r="BK29" s="1"/>
      <c r="BL29" s="1"/>
      <c r="BM29" s="1"/>
      <c r="BN29" s="1"/>
      <c r="BO29" s="1"/>
      <c r="BP29" s="1"/>
    </row>
    <row r="30" spans="1:68" ht="114" x14ac:dyDescent="0.2">
      <c r="A30" s="924"/>
      <c r="B30" s="931"/>
      <c r="C30" s="689"/>
      <c r="D30" s="689"/>
      <c r="E30" s="689"/>
      <c r="F30" s="932"/>
      <c r="G30" s="927"/>
      <c r="H30" s="928"/>
      <c r="I30" s="929"/>
      <c r="J30" s="2107">
        <v>136</v>
      </c>
      <c r="K30" s="2386" t="s">
        <v>1721</v>
      </c>
      <c r="L30" s="2116" t="s">
        <v>146</v>
      </c>
      <c r="M30" s="2107">
        <v>12</v>
      </c>
      <c r="N30" s="955">
        <v>12</v>
      </c>
      <c r="O30" s="2605" t="s">
        <v>1722</v>
      </c>
      <c r="P30" s="2600">
        <v>135</v>
      </c>
      <c r="Q30" s="3054" t="s">
        <v>1723</v>
      </c>
      <c r="R30" s="2205">
        <f>W30/$S$30</f>
        <v>0.31887755102040816</v>
      </c>
      <c r="S30" s="4613">
        <v>78400000</v>
      </c>
      <c r="T30" s="2605" t="s">
        <v>1724</v>
      </c>
      <c r="U30" s="2386" t="s">
        <v>1725</v>
      </c>
      <c r="V30" s="2386" t="s">
        <v>1726</v>
      </c>
      <c r="W30" s="956">
        <v>25000000</v>
      </c>
      <c r="X30" s="957">
        <v>17600000</v>
      </c>
      <c r="Y30" s="957">
        <v>17600000</v>
      </c>
      <c r="Z30" s="3090">
        <v>61</v>
      </c>
      <c r="AA30" s="3054" t="s">
        <v>1685</v>
      </c>
      <c r="AB30" s="3090">
        <v>64149</v>
      </c>
      <c r="AC30" s="2826">
        <f>SUM(AB30*0.63)</f>
        <v>40413.870000000003</v>
      </c>
      <c r="AD30" s="3090">
        <v>72224</v>
      </c>
      <c r="AE30" s="2826">
        <f>SUM(AD30*0.63)</f>
        <v>45501.120000000003</v>
      </c>
      <c r="AF30" s="3090">
        <v>27477</v>
      </c>
      <c r="AG30" s="2826">
        <f>SUM(AF30*0.63)</f>
        <v>17310.509999999998</v>
      </c>
      <c r="AH30" s="3090">
        <v>86843</v>
      </c>
      <c r="AI30" s="2826">
        <f>SUM(AH30*0.63)</f>
        <v>54711.090000000004</v>
      </c>
      <c r="AJ30" s="3090">
        <v>236429</v>
      </c>
      <c r="AK30" s="2826">
        <f>SUM(AJ30*0.63)</f>
        <v>148950.26999999999</v>
      </c>
      <c r="AL30" s="3090">
        <v>75612</v>
      </c>
      <c r="AM30" s="2826">
        <f>SUM(AL30*0.63)</f>
        <v>47635.56</v>
      </c>
      <c r="AN30" s="3090">
        <v>13208</v>
      </c>
      <c r="AO30" s="2826">
        <f>SUM(AN30*0.63)</f>
        <v>8321.0400000000009</v>
      </c>
      <c r="AP30" s="3090">
        <v>2145</v>
      </c>
      <c r="AQ30" s="2826">
        <f>SUM(AP30*0.63)</f>
        <v>1351.35</v>
      </c>
      <c r="AR30" s="3090">
        <v>413</v>
      </c>
      <c r="AS30" s="2826">
        <f>SUM(AR30*0.63)</f>
        <v>260.19</v>
      </c>
      <c r="AT30" s="3090">
        <v>520</v>
      </c>
      <c r="AU30" s="2826">
        <f>SUM(AT30*0.63)</f>
        <v>327.60000000000002</v>
      </c>
      <c r="AV30" s="3090">
        <v>16897</v>
      </c>
      <c r="AW30" s="2826">
        <f>SUM(AV30*0.63)</f>
        <v>10645.11</v>
      </c>
      <c r="AX30" s="3090">
        <v>75612</v>
      </c>
      <c r="AY30" s="2826">
        <f>SUM(AX30*0.63)</f>
        <v>47635.56</v>
      </c>
      <c r="AZ30" s="3090">
        <v>11</v>
      </c>
      <c r="BA30" s="4608">
        <f>SUM(X30:X32)</f>
        <v>49733333</v>
      </c>
      <c r="BB30" s="4611">
        <f>SUM(Y30:Y32)</f>
        <v>49733333</v>
      </c>
      <c r="BC30" s="3098">
        <f>BB30/BA30</f>
        <v>1</v>
      </c>
      <c r="BD30" s="3090">
        <v>61</v>
      </c>
      <c r="BE30" s="3090" t="s">
        <v>1686</v>
      </c>
      <c r="BF30" s="3080">
        <v>42583</v>
      </c>
      <c r="BG30" s="2578">
        <v>42583</v>
      </c>
      <c r="BH30" s="3080">
        <v>42735</v>
      </c>
      <c r="BI30" s="2578">
        <v>42735</v>
      </c>
      <c r="BJ30" s="4607" t="s">
        <v>1687</v>
      </c>
    </row>
    <row r="31" spans="1:68" ht="77.25" customHeight="1" x14ac:dyDescent="0.2">
      <c r="A31" s="924"/>
      <c r="B31" s="931"/>
      <c r="C31" s="689"/>
      <c r="D31" s="689"/>
      <c r="E31" s="689"/>
      <c r="F31" s="932"/>
      <c r="G31" s="931"/>
      <c r="H31" s="689"/>
      <c r="I31" s="932"/>
      <c r="J31" s="2107">
        <v>137</v>
      </c>
      <c r="K31" s="2386" t="s">
        <v>1727</v>
      </c>
      <c r="L31" s="2116" t="s">
        <v>146</v>
      </c>
      <c r="M31" s="2107">
        <v>12</v>
      </c>
      <c r="N31" s="958">
        <v>12</v>
      </c>
      <c r="O31" s="2987"/>
      <c r="P31" s="2601"/>
      <c r="Q31" s="3055"/>
      <c r="R31" s="2205">
        <f>W31/$S$30</f>
        <v>0.51020408163265307</v>
      </c>
      <c r="S31" s="4615"/>
      <c r="T31" s="2987"/>
      <c r="U31" s="2386" t="s">
        <v>1728</v>
      </c>
      <c r="V31" s="2386" t="s">
        <v>1729</v>
      </c>
      <c r="W31" s="956">
        <v>40000000</v>
      </c>
      <c r="X31" s="957">
        <v>27150000</v>
      </c>
      <c r="Y31" s="957">
        <v>27150000</v>
      </c>
      <c r="Z31" s="4007"/>
      <c r="AA31" s="3055"/>
      <c r="AB31" s="4007"/>
      <c r="AC31" s="2827"/>
      <c r="AD31" s="4007"/>
      <c r="AE31" s="2827"/>
      <c r="AF31" s="4007"/>
      <c r="AG31" s="2827"/>
      <c r="AH31" s="4007"/>
      <c r="AI31" s="2827"/>
      <c r="AJ31" s="4007"/>
      <c r="AK31" s="2827"/>
      <c r="AL31" s="4007"/>
      <c r="AM31" s="2827"/>
      <c r="AN31" s="4007"/>
      <c r="AO31" s="2827"/>
      <c r="AP31" s="4007"/>
      <c r="AQ31" s="2827"/>
      <c r="AR31" s="4007"/>
      <c r="AS31" s="2827"/>
      <c r="AT31" s="4007"/>
      <c r="AU31" s="2827"/>
      <c r="AV31" s="4007"/>
      <c r="AW31" s="2827"/>
      <c r="AX31" s="4007"/>
      <c r="AY31" s="2827"/>
      <c r="AZ31" s="4007"/>
      <c r="BA31" s="4609"/>
      <c r="BB31" s="4619"/>
      <c r="BC31" s="3234"/>
      <c r="BD31" s="4007"/>
      <c r="BE31" s="4007"/>
      <c r="BF31" s="3081"/>
      <c r="BG31" s="2579"/>
      <c r="BH31" s="3081"/>
      <c r="BI31" s="2579"/>
      <c r="BJ31" s="4607"/>
    </row>
    <row r="32" spans="1:68" s="356" customFormat="1" ht="122.25" customHeight="1" x14ac:dyDescent="0.2">
      <c r="A32" s="924"/>
      <c r="B32" s="931"/>
      <c r="C32" s="689"/>
      <c r="D32" s="689"/>
      <c r="E32" s="689"/>
      <c r="F32" s="932"/>
      <c r="G32" s="931"/>
      <c r="H32" s="689"/>
      <c r="I32" s="932"/>
      <c r="J32" s="2115">
        <v>138</v>
      </c>
      <c r="K32" s="2123" t="s">
        <v>1730</v>
      </c>
      <c r="L32" s="2121" t="s">
        <v>146</v>
      </c>
      <c r="M32" s="2115">
        <v>12</v>
      </c>
      <c r="N32" s="2486">
        <v>12</v>
      </c>
      <c r="O32" s="2988"/>
      <c r="P32" s="2636"/>
      <c r="Q32" s="3056"/>
      <c r="R32" s="2122">
        <f>W32/$S$30</f>
        <v>0.17091836734693877</v>
      </c>
      <c r="S32" s="4614"/>
      <c r="T32" s="2988"/>
      <c r="U32" s="2123" t="s">
        <v>1725</v>
      </c>
      <c r="V32" s="2123" t="s">
        <v>1731</v>
      </c>
      <c r="W32" s="959">
        <v>13400000</v>
      </c>
      <c r="X32" s="960">
        <v>4983333</v>
      </c>
      <c r="Y32" s="960">
        <v>4983333</v>
      </c>
      <c r="Z32" s="3091"/>
      <c r="AA32" s="3056"/>
      <c r="AB32" s="3091"/>
      <c r="AC32" s="2862"/>
      <c r="AD32" s="3091"/>
      <c r="AE32" s="2862"/>
      <c r="AF32" s="3091"/>
      <c r="AG32" s="2862"/>
      <c r="AH32" s="3091"/>
      <c r="AI32" s="2862"/>
      <c r="AJ32" s="3091"/>
      <c r="AK32" s="2862"/>
      <c r="AL32" s="3091"/>
      <c r="AM32" s="2862"/>
      <c r="AN32" s="3091"/>
      <c r="AO32" s="2862"/>
      <c r="AP32" s="3091"/>
      <c r="AQ32" s="2862"/>
      <c r="AR32" s="3091"/>
      <c r="AS32" s="2862"/>
      <c r="AT32" s="3091"/>
      <c r="AU32" s="2862"/>
      <c r="AV32" s="3091"/>
      <c r="AW32" s="2862"/>
      <c r="AX32" s="3091"/>
      <c r="AY32" s="2862"/>
      <c r="AZ32" s="4007"/>
      <c r="BA32" s="4610"/>
      <c r="BB32" s="4612"/>
      <c r="BC32" s="3099"/>
      <c r="BD32" s="3091"/>
      <c r="BE32" s="3091"/>
      <c r="BF32" s="3082"/>
      <c r="BG32" s="2580"/>
      <c r="BH32" s="3082"/>
      <c r="BI32" s="2580"/>
      <c r="BJ32" s="4607"/>
    </row>
    <row r="33" spans="1:68" s="356" customFormat="1" ht="118.5" customHeight="1" x14ac:dyDescent="0.2">
      <c r="A33" s="2120"/>
      <c r="B33" s="309"/>
      <c r="C33" s="2180"/>
      <c r="D33" s="2180"/>
      <c r="E33" s="2180"/>
      <c r="F33" s="2186"/>
      <c r="G33" s="1291"/>
      <c r="H33" s="2181"/>
      <c r="I33" s="2182"/>
      <c r="J33" s="2115">
        <v>138</v>
      </c>
      <c r="K33" s="2123" t="s">
        <v>1730</v>
      </c>
      <c r="L33" s="2121" t="s">
        <v>146</v>
      </c>
      <c r="M33" s="2115">
        <v>12</v>
      </c>
      <c r="N33" s="2466">
        <v>12</v>
      </c>
      <c r="O33" s="2196" t="s">
        <v>1732</v>
      </c>
      <c r="P33" s="2099">
        <v>136</v>
      </c>
      <c r="Q33" s="2123" t="s">
        <v>1733</v>
      </c>
      <c r="R33" s="961">
        <v>1</v>
      </c>
      <c r="S33" s="959">
        <v>11600000</v>
      </c>
      <c r="T33" s="962" t="s">
        <v>1724</v>
      </c>
      <c r="U33" s="2123" t="s">
        <v>1725</v>
      </c>
      <c r="V33" s="2123" t="s">
        <v>1725</v>
      </c>
      <c r="W33" s="959">
        <v>11600000</v>
      </c>
      <c r="X33" s="957">
        <v>11600000</v>
      </c>
      <c r="Y33" s="957">
        <v>11600000</v>
      </c>
      <c r="Z33" s="2167">
        <v>61</v>
      </c>
      <c r="AA33" s="2123" t="s">
        <v>1685</v>
      </c>
      <c r="AB33" s="963">
        <v>64149</v>
      </c>
      <c r="AC33" s="964">
        <v>64149</v>
      </c>
      <c r="AD33" s="963">
        <v>72224</v>
      </c>
      <c r="AE33" s="964">
        <v>72224</v>
      </c>
      <c r="AF33" s="963">
        <v>27477</v>
      </c>
      <c r="AG33" s="964">
        <v>27477</v>
      </c>
      <c r="AH33" s="963">
        <v>86843</v>
      </c>
      <c r="AI33" s="964">
        <v>86843</v>
      </c>
      <c r="AJ33" s="963">
        <v>236429</v>
      </c>
      <c r="AK33" s="964">
        <v>236429</v>
      </c>
      <c r="AL33" s="963">
        <v>75612</v>
      </c>
      <c r="AM33" s="964">
        <v>75612</v>
      </c>
      <c r="AN33" s="963">
        <v>13208</v>
      </c>
      <c r="AO33" s="964">
        <v>13208</v>
      </c>
      <c r="AP33" s="963">
        <v>2145</v>
      </c>
      <c r="AQ33" s="964">
        <v>2145</v>
      </c>
      <c r="AR33" s="963">
        <v>413</v>
      </c>
      <c r="AS33" s="964">
        <v>413</v>
      </c>
      <c r="AT33" s="963">
        <v>520</v>
      </c>
      <c r="AU33" s="964">
        <v>520</v>
      </c>
      <c r="AV33" s="963">
        <v>16897</v>
      </c>
      <c r="AW33" s="964">
        <v>16897</v>
      </c>
      <c r="AX33" s="963">
        <v>75612</v>
      </c>
      <c r="AY33" s="964">
        <v>75612</v>
      </c>
      <c r="AZ33" s="2201">
        <v>2</v>
      </c>
      <c r="BA33" s="2500">
        <v>11600000</v>
      </c>
      <c r="BB33" s="2500">
        <f>SUM(Y33)</f>
        <v>11600000</v>
      </c>
      <c r="BC33" s="2205">
        <f>BB33/BA33</f>
        <v>1</v>
      </c>
      <c r="BD33" s="2201">
        <v>61</v>
      </c>
      <c r="BE33" s="2201" t="s">
        <v>1686</v>
      </c>
      <c r="BF33" s="2298">
        <v>42583</v>
      </c>
      <c r="BG33" s="2297">
        <v>42583</v>
      </c>
      <c r="BH33" s="965">
        <v>42735</v>
      </c>
      <c r="BI33" s="966">
        <v>42735</v>
      </c>
      <c r="BJ33" s="2522" t="s">
        <v>1687</v>
      </c>
    </row>
    <row r="34" spans="1:68" ht="34.5" customHeight="1" x14ac:dyDescent="0.2">
      <c r="A34" s="916"/>
      <c r="B34" s="925"/>
      <c r="C34" s="519"/>
      <c r="D34" s="519"/>
      <c r="E34" s="519"/>
      <c r="F34" s="926"/>
      <c r="G34" s="1554">
        <v>39</v>
      </c>
      <c r="H34" s="50" t="s">
        <v>1734</v>
      </c>
      <c r="I34" s="50"/>
      <c r="J34" s="1376"/>
      <c r="K34" s="412"/>
      <c r="L34" s="2520"/>
      <c r="M34" s="2520"/>
      <c r="N34" s="643"/>
      <c r="O34" s="412"/>
      <c r="P34" s="2520"/>
      <c r="Q34" s="412"/>
      <c r="R34" s="2520"/>
      <c r="S34" s="412"/>
      <c r="T34" s="412"/>
      <c r="U34" s="412"/>
      <c r="V34" s="412"/>
      <c r="W34" s="946"/>
      <c r="X34" s="922"/>
      <c r="Y34" s="922"/>
      <c r="Z34" s="2519"/>
      <c r="AA34" s="412"/>
      <c r="AB34" s="412"/>
      <c r="AC34" s="921"/>
      <c r="AD34" s="412"/>
      <c r="AE34" s="921"/>
      <c r="AF34" s="412"/>
      <c r="AG34" s="921"/>
      <c r="AH34" s="412"/>
      <c r="AI34" s="921"/>
      <c r="AJ34" s="412"/>
      <c r="AK34" s="921"/>
      <c r="AL34" s="412"/>
      <c r="AM34" s="921"/>
      <c r="AN34" s="412"/>
      <c r="AO34" s="921"/>
      <c r="AP34" s="412"/>
      <c r="AQ34" s="921"/>
      <c r="AR34" s="412"/>
      <c r="AS34" s="921"/>
      <c r="AT34" s="412"/>
      <c r="AU34" s="921"/>
      <c r="AV34" s="412"/>
      <c r="AW34" s="921"/>
      <c r="AX34" s="412"/>
      <c r="AY34" s="921"/>
      <c r="AZ34" s="412"/>
      <c r="BA34" s="1553"/>
      <c r="BB34" s="1553"/>
      <c r="BC34" s="943"/>
      <c r="BD34" s="412"/>
      <c r="BE34" s="412"/>
      <c r="BF34" s="50"/>
      <c r="BG34" s="411"/>
      <c r="BH34" s="50"/>
      <c r="BI34" s="411"/>
      <c r="BJ34" s="50"/>
      <c r="BK34" s="1"/>
      <c r="BL34" s="1"/>
      <c r="BM34" s="1"/>
      <c r="BN34" s="1"/>
      <c r="BO34" s="1"/>
      <c r="BP34" s="1"/>
    </row>
    <row r="35" spans="1:68" ht="95.25" customHeight="1" x14ac:dyDescent="0.2">
      <c r="A35" s="967"/>
      <c r="B35" s="2477"/>
      <c r="C35" s="2565"/>
      <c r="D35" s="2565"/>
      <c r="E35" s="2565"/>
      <c r="F35" s="2478"/>
      <c r="G35" s="1555"/>
      <c r="H35" s="968"/>
      <c r="I35" s="969"/>
      <c r="J35" s="2107">
        <v>139</v>
      </c>
      <c r="K35" s="2386" t="s">
        <v>1735</v>
      </c>
      <c r="L35" s="2116" t="s">
        <v>146</v>
      </c>
      <c r="M35" s="2107">
        <v>1</v>
      </c>
      <c r="N35" s="2485">
        <v>1</v>
      </c>
      <c r="O35" s="2386" t="s">
        <v>1736</v>
      </c>
      <c r="P35" s="2107">
        <v>137</v>
      </c>
      <c r="Q35" s="2386" t="s">
        <v>1737</v>
      </c>
      <c r="R35" s="970">
        <v>1</v>
      </c>
      <c r="S35" s="971">
        <v>60000000</v>
      </c>
      <c r="T35" s="2129" t="s">
        <v>1738</v>
      </c>
      <c r="U35" s="2386" t="s">
        <v>1739</v>
      </c>
      <c r="V35" s="2386" t="s">
        <v>1740</v>
      </c>
      <c r="W35" s="972">
        <v>60000000</v>
      </c>
      <c r="X35" s="973">
        <v>60000000</v>
      </c>
      <c r="Y35" s="973">
        <v>60000000</v>
      </c>
      <c r="Z35" s="2384">
        <v>61</v>
      </c>
      <c r="AA35" s="974" t="s">
        <v>1685</v>
      </c>
      <c r="AB35" s="2153">
        <v>64149</v>
      </c>
      <c r="AC35" s="2170">
        <v>64149</v>
      </c>
      <c r="AD35" s="2153">
        <v>72224</v>
      </c>
      <c r="AE35" s="2170">
        <v>72224</v>
      </c>
      <c r="AF35" s="2153">
        <v>27477</v>
      </c>
      <c r="AG35" s="2170">
        <v>27477</v>
      </c>
      <c r="AH35" s="2153">
        <v>86843</v>
      </c>
      <c r="AI35" s="2170">
        <v>86843</v>
      </c>
      <c r="AJ35" s="2153">
        <v>236429</v>
      </c>
      <c r="AK35" s="2170">
        <v>236429</v>
      </c>
      <c r="AL35" s="2153">
        <v>75612</v>
      </c>
      <c r="AM35" s="2170">
        <v>75612</v>
      </c>
      <c r="AN35" s="2153">
        <v>13208</v>
      </c>
      <c r="AO35" s="2170">
        <v>13208</v>
      </c>
      <c r="AP35" s="2153">
        <v>2145</v>
      </c>
      <c r="AQ35" s="2170">
        <v>2145</v>
      </c>
      <c r="AR35" s="2153">
        <v>413</v>
      </c>
      <c r="AS35" s="2170">
        <v>413</v>
      </c>
      <c r="AT35" s="2153">
        <v>520</v>
      </c>
      <c r="AU35" s="2170">
        <v>520</v>
      </c>
      <c r="AV35" s="2153">
        <v>16897</v>
      </c>
      <c r="AW35" s="2170">
        <v>16897</v>
      </c>
      <c r="AX35" s="2153">
        <v>75612</v>
      </c>
      <c r="AY35" s="2170">
        <v>75612</v>
      </c>
      <c r="AZ35" s="2201">
        <v>6</v>
      </c>
      <c r="BA35" s="2523">
        <f>SUM(X35)</f>
        <v>60000000</v>
      </c>
      <c r="BB35" s="2523">
        <f>SUM(Y35)</f>
        <v>60000000</v>
      </c>
      <c r="BC35" s="2205">
        <f>+BB35/BA35</f>
        <v>1</v>
      </c>
      <c r="BD35" s="2153">
        <v>61</v>
      </c>
      <c r="BE35" s="2153" t="s">
        <v>1686</v>
      </c>
      <c r="BF35" s="2298">
        <v>42583</v>
      </c>
      <c r="BG35" s="2297">
        <v>42583</v>
      </c>
      <c r="BH35" s="965">
        <v>42735</v>
      </c>
      <c r="BI35" s="966">
        <v>42735</v>
      </c>
      <c r="BJ35" s="2522" t="s">
        <v>1687</v>
      </c>
      <c r="BK35" s="1"/>
      <c r="BL35" s="1"/>
      <c r="BM35" s="1"/>
      <c r="BN35" s="1"/>
      <c r="BO35" s="1"/>
      <c r="BP35" s="1"/>
    </row>
    <row r="36" spans="1:68" s="356" customFormat="1" ht="64.5" customHeight="1" x14ac:dyDescent="0.2">
      <c r="A36" s="975"/>
      <c r="B36" s="976"/>
      <c r="C36" s="977"/>
      <c r="D36" s="977"/>
      <c r="E36" s="977"/>
      <c r="F36" s="978"/>
      <c r="G36" s="976"/>
      <c r="H36" s="977"/>
      <c r="I36" s="978"/>
      <c r="J36" s="2115">
        <v>139</v>
      </c>
      <c r="K36" s="2123" t="s">
        <v>1735</v>
      </c>
      <c r="L36" s="2121" t="s">
        <v>146</v>
      </c>
      <c r="M36" s="2115">
        <v>1</v>
      </c>
      <c r="N36" s="2530">
        <v>1</v>
      </c>
      <c r="O36" s="2786" t="s">
        <v>1741</v>
      </c>
      <c r="P36" s="2644">
        <v>138</v>
      </c>
      <c r="Q36" s="2786" t="s">
        <v>1742</v>
      </c>
      <c r="R36" s="2118">
        <f>W36/$S$36</f>
        <v>0.375</v>
      </c>
      <c r="S36" s="4616">
        <v>80000000</v>
      </c>
      <c r="T36" s="2666" t="s">
        <v>1738</v>
      </c>
      <c r="U36" s="2123" t="s">
        <v>1739</v>
      </c>
      <c r="V36" s="2123" t="s">
        <v>1743</v>
      </c>
      <c r="W36" s="959">
        <v>30000000</v>
      </c>
      <c r="X36" s="957">
        <v>26250000</v>
      </c>
      <c r="Y36" s="957">
        <v>26250000</v>
      </c>
      <c r="Z36" s="2795">
        <v>61</v>
      </c>
      <c r="AA36" s="2786" t="s">
        <v>1685</v>
      </c>
      <c r="AB36" s="2795">
        <v>64149</v>
      </c>
      <c r="AC36" s="2826">
        <f>SUM(AB36*0.59)</f>
        <v>37847.909999999996</v>
      </c>
      <c r="AD36" s="2795">
        <v>72224</v>
      </c>
      <c r="AE36" s="2826">
        <f>SUM(AD36*0.59)</f>
        <v>42612.159999999996</v>
      </c>
      <c r="AF36" s="2795">
        <v>27477</v>
      </c>
      <c r="AG36" s="2826">
        <f>SUM(AF36*0.59)</f>
        <v>16211.429999999998</v>
      </c>
      <c r="AH36" s="2795">
        <v>86843</v>
      </c>
      <c r="AI36" s="2826">
        <f>SUM(AH36*0.59)</f>
        <v>51237.369999999995</v>
      </c>
      <c r="AJ36" s="2795">
        <v>236429</v>
      </c>
      <c r="AK36" s="2826">
        <f>SUM(AJ36*0.59)</f>
        <v>139493.10999999999</v>
      </c>
      <c r="AL36" s="2795">
        <v>75612</v>
      </c>
      <c r="AM36" s="2826">
        <f>SUM(AL36*0.59)</f>
        <v>44611.079999999994</v>
      </c>
      <c r="AN36" s="2795">
        <v>13208</v>
      </c>
      <c r="AO36" s="2826">
        <f>SUM(AN36*0.59)</f>
        <v>7792.7199999999993</v>
      </c>
      <c r="AP36" s="2795">
        <v>2145</v>
      </c>
      <c r="AQ36" s="2826">
        <f>SUM(AP36*0.59)</f>
        <v>1265.55</v>
      </c>
      <c r="AR36" s="2795">
        <v>413</v>
      </c>
      <c r="AS36" s="2826">
        <f>SUM(AR36*0.59)</f>
        <v>243.67</v>
      </c>
      <c r="AT36" s="2795">
        <v>520</v>
      </c>
      <c r="AU36" s="2826">
        <f>SUM(AT36*0.59)</f>
        <v>306.8</v>
      </c>
      <c r="AV36" s="2795">
        <v>16897</v>
      </c>
      <c r="AW36" s="2826">
        <f>SUM(AV36*0.59)</f>
        <v>9969.23</v>
      </c>
      <c r="AX36" s="2795">
        <v>75612</v>
      </c>
      <c r="AY36" s="2826">
        <f>SUM(AX36*0.59)</f>
        <v>44611.079999999994</v>
      </c>
      <c r="AZ36" s="3090">
        <v>9</v>
      </c>
      <c r="BA36" s="4621">
        <f>SUM(X36:X38)</f>
        <v>47500000</v>
      </c>
      <c r="BB36" s="4621">
        <f>SUM(Y36:Y38)</f>
        <v>47500000</v>
      </c>
      <c r="BC36" s="2587">
        <f>BA36/BB36</f>
        <v>1</v>
      </c>
      <c r="BD36" s="2795">
        <v>61</v>
      </c>
      <c r="BE36" s="2795" t="s">
        <v>1686</v>
      </c>
      <c r="BF36" s="2687">
        <v>42583</v>
      </c>
      <c r="BG36" s="2578">
        <v>42583</v>
      </c>
      <c r="BH36" s="2687">
        <v>42735</v>
      </c>
      <c r="BI36" s="2578">
        <v>42735</v>
      </c>
      <c r="BJ36" s="4620" t="s">
        <v>1687</v>
      </c>
    </row>
    <row r="37" spans="1:68" s="356" customFormat="1" ht="48" customHeight="1" x14ac:dyDescent="0.2">
      <c r="A37" s="975"/>
      <c r="B37" s="976"/>
      <c r="C37" s="977"/>
      <c r="D37" s="977"/>
      <c r="E37" s="977"/>
      <c r="F37" s="978"/>
      <c r="G37" s="976"/>
      <c r="H37" s="977"/>
      <c r="I37" s="978"/>
      <c r="J37" s="2115">
        <v>140</v>
      </c>
      <c r="K37" s="310" t="s">
        <v>1744</v>
      </c>
      <c r="L37" s="2121" t="s">
        <v>146</v>
      </c>
      <c r="M37" s="2121">
        <v>1</v>
      </c>
      <c r="N37" s="2530">
        <v>1</v>
      </c>
      <c r="O37" s="2787"/>
      <c r="P37" s="2645"/>
      <c r="Q37" s="2787"/>
      <c r="R37" s="2118">
        <f>W37/$S$36</f>
        <v>0.3125</v>
      </c>
      <c r="S37" s="4617"/>
      <c r="T37" s="2667"/>
      <c r="U37" s="310" t="s">
        <v>1745</v>
      </c>
      <c r="V37" s="2148" t="s">
        <v>1746</v>
      </c>
      <c r="W37" s="2525">
        <v>25000000</v>
      </c>
      <c r="X37" s="957">
        <v>17500000</v>
      </c>
      <c r="Y37" s="957">
        <v>17500000</v>
      </c>
      <c r="Z37" s="2796"/>
      <c r="AA37" s="2787"/>
      <c r="AB37" s="2796"/>
      <c r="AC37" s="2827"/>
      <c r="AD37" s="2796"/>
      <c r="AE37" s="2827"/>
      <c r="AF37" s="2796"/>
      <c r="AG37" s="2827"/>
      <c r="AH37" s="2796"/>
      <c r="AI37" s="2827"/>
      <c r="AJ37" s="2796"/>
      <c r="AK37" s="2827"/>
      <c r="AL37" s="2796"/>
      <c r="AM37" s="2827"/>
      <c r="AN37" s="2796"/>
      <c r="AO37" s="2827"/>
      <c r="AP37" s="2796"/>
      <c r="AQ37" s="2827"/>
      <c r="AR37" s="2796"/>
      <c r="AS37" s="2827"/>
      <c r="AT37" s="2796"/>
      <c r="AU37" s="2827"/>
      <c r="AV37" s="2796"/>
      <c r="AW37" s="2827"/>
      <c r="AX37" s="2796"/>
      <c r="AY37" s="2827"/>
      <c r="AZ37" s="4007"/>
      <c r="BA37" s="4622"/>
      <c r="BB37" s="4622"/>
      <c r="BC37" s="4624" t="e">
        <f t="shared" ref="BC37:BC49" si="0">+BB37/BA37</f>
        <v>#DIV/0!</v>
      </c>
      <c r="BD37" s="2796"/>
      <c r="BE37" s="2796"/>
      <c r="BF37" s="2688"/>
      <c r="BG37" s="2579"/>
      <c r="BH37" s="2688"/>
      <c r="BI37" s="2579"/>
      <c r="BJ37" s="4620"/>
    </row>
    <row r="38" spans="1:68" s="356" customFormat="1" ht="87.75" customHeight="1" x14ac:dyDescent="0.2">
      <c r="A38" s="975"/>
      <c r="B38" s="976"/>
      <c r="C38" s="977"/>
      <c r="D38" s="977"/>
      <c r="E38" s="977"/>
      <c r="F38" s="978"/>
      <c r="G38" s="1556"/>
      <c r="H38" s="979"/>
      <c r="I38" s="980"/>
      <c r="J38" s="2115">
        <v>141</v>
      </c>
      <c r="K38" s="310" t="s">
        <v>1747</v>
      </c>
      <c r="L38" s="2121" t="s">
        <v>146</v>
      </c>
      <c r="M38" s="2121">
        <v>1</v>
      </c>
      <c r="N38" s="2530">
        <v>1</v>
      </c>
      <c r="O38" s="2788"/>
      <c r="P38" s="2646"/>
      <c r="Q38" s="2788"/>
      <c r="R38" s="2118">
        <f>W38/$S$36</f>
        <v>0.3125</v>
      </c>
      <c r="S38" s="4618"/>
      <c r="T38" s="2668"/>
      <c r="U38" s="310" t="s">
        <v>1748</v>
      </c>
      <c r="V38" s="2148" t="s">
        <v>1749</v>
      </c>
      <c r="W38" s="2525">
        <v>25000000</v>
      </c>
      <c r="X38" s="960">
        <v>3750000</v>
      </c>
      <c r="Y38" s="960">
        <v>3750000</v>
      </c>
      <c r="Z38" s="2797"/>
      <c r="AA38" s="2788"/>
      <c r="AB38" s="2797"/>
      <c r="AC38" s="2862"/>
      <c r="AD38" s="2797"/>
      <c r="AE38" s="2862"/>
      <c r="AF38" s="2797"/>
      <c r="AG38" s="2862"/>
      <c r="AH38" s="2797"/>
      <c r="AI38" s="2862"/>
      <c r="AJ38" s="2797"/>
      <c r="AK38" s="2862"/>
      <c r="AL38" s="2797"/>
      <c r="AM38" s="2862"/>
      <c r="AN38" s="2797"/>
      <c r="AO38" s="2862"/>
      <c r="AP38" s="2797"/>
      <c r="AQ38" s="2862"/>
      <c r="AR38" s="2797"/>
      <c r="AS38" s="2862"/>
      <c r="AT38" s="2797"/>
      <c r="AU38" s="2862"/>
      <c r="AV38" s="2797"/>
      <c r="AW38" s="2862"/>
      <c r="AX38" s="2797"/>
      <c r="AY38" s="2862"/>
      <c r="AZ38" s="3091"/>
      <c r="BA38" s="4623"/>
      <c r="BB38" s="4623"/>
      <c r="BC38" s="4625" t="e">
        <f t="shared" si="0"/>
        <v>#DIV/0!</v>
      </c>
      <c r="BD38" s="2797"/>
      <c r="BE38" s="2797"/>
      <c r="BF38" s="2689"/>
      <c r="BG38" s="2580"/>
      <c r="BH38" s="2689"/>
      <c r="BI38" s="2580"/>
      <c r="BJ38" s="4620"/>
    </row>
    <row r="39" spans="1:68" ht="36" customHeight="1" x14ac:dyDescent="0.2">
      <c r="A39" s="916"/>
      <c r="B39" s="925"/>
      <c r="C39" s="519"/>
      <c r="D39" s="519"/>
      <c r="E39" s="519"/>
      <c r="F39" s="926"/>
      <c r="G39" s="920">
        <v>40</v>
      </c>
      <c r="H39" s="50" t="s">
        <v>1750</v>
      </c>
      <c r="I39" s="50"/>
      <c r="J39" s="1376"/>
      <c r="K39" s="412"/>
      <c r="L39" s="2520"/>
      <c r="M39" s="2520"/>
      <c r="N39" s="643"/>
      <c r="O39" s="412"/>
      <c r="P39" s="2520"/>
      <c r="Q39" s="412"/>
      <c r="R39" s="2520"/>
      <c r="S39" s="412"/>
      <c r="T39" s="412"/>
      <c r="U39" s="412"/>
      <c r="V39" s="412"/>
      <c r="W39" s="981"/>
      <c r="X39" s="982"/>
      <c r="Y39" s="982"/>
      <c r="Z39" s="2519"/>
      <c r="AA39" s="412"/>
      <c r="AB39" s="412"/>
      <c r="AC39" s="921"/>
      <c r="AD39" s="412"/>
      <c r="AE39" s="921"/>
      <c r="AF39" s="2519"/>
      <c r="AG39" s="4605"/>
      <c r="AH39" s="4605"/>
      <c r="AI39" s="921"/>
      <c r="AJ39" s="4605"/>
      <c r="AK39" s="4605"/>
      <c r="AL39" s="412"/>
      <c r="AM39" s="4605"/>
      <c r="AN39" s="4606"/>
      <c r="AO39" s="983"/>
      <c r="AP39" s="412"/>
      <c r="AQ39" s="921"/>
      <c r="AR39" s="412"/>
      <c r="AS39" s="921"/>
      <c r="AT39" s="412"/>
      <c r="AU39" s="921"/>
      <c r="AV39" s="2519"/>
      <c r="AW39" s="983"/>
      <c r="AX39" s="412"/>
      <c r="AY39" s="921"/>
      <c r="AZ39" s="412"/>
      <c r="BA39" s="1553"/>
      <c r="BB39" s="1553"/>
      <c r="BC39" s="943"/>
      <c r="BD39" s="412"/>
      <c r="BE39" s="412"/>
      <c r="BF39" s="50"/>
      <c r="BG39" s="411"/>
      <c r="BH39" s="50"/>
      <c r="BI39" s="411"/>
      <c r="BJ39" s="50"/>
      <c r="BK39" s="1"/>
      <c r="BL39" s="1"/>
      <c r="BM39" s="1"/>
      <c r="BN39" s="1"/>
      <c r="BO39" s="1"/>
      <c r="BP39" s="1"/>
    </row>
    <row r="40" spans="1:68" ht="149.25" customHeight="1" x14ac:dyDescent="0.2">
      <c r="A40" s="455"/>
      <c r="B40" s="948"/>
      <c r="C40" s="454"/>
      <c r="D40" s="454"/>
      <c r="E40" s="454"/>
      <c r="F40" s="949"/>
      <c r="G40" s="1064"/>
      <c r="H40" s="950"/>
      <c r="I40" s="951"/>
      <c r="J40" s="2107">
        <v>142</v>
      </c>
      <c r="K40" s="2224" t="s">
        <v>1751</v>
      </c>
      <c r="L40" s="2116" t="s">
        <v>146</v>
      </c>
      <c r="M40" s="2116">
        <v>12</v>
      </c>
      <c r="N40" s="2530">
        <v>12</v>
      </c>
      <c r="O40" s="2605" t="s">
        <v>1752</v>
      </c>
      <c r="P40" s="2600">
        <v>139</v>
      </c>
      <c r="Q40" s="3054" t="s">
        <v>1753</v>
      </c>
      <c r="R40" s="2118">
        <v>0.9</v>
      </c>
      <c r="S40" s="4613">
        <v>10000000</v>
      </c>
      <c r="T40" s="2605" t="s">
        <v>1754</v>
      </c>
      <c r="U40" s="2224" t="s">
        <v>1755</v>
      </c>
      <c r="V40" s="2200" t="s">
        <v>1756</v>
      </c>
      <c r="W40" s="2509">
        <v>10000000</v>
      </c>
      <c r="X40" s="957">
        <v>9650000</v>
      </c>
      <c r="Y40" s="957">
        <v>9650000</v>
      </c>
      <c r="Z40" s="3090">
        <v>61</v>
      </c>
      <c r="AA40" s="3054" t="s">
        <v>1685</v>
      </c>
      <c r="AB40" s="3090">
        <v>64149</v>
      </c>
      <c r="AC40" s="2826">
        <f>SUM(AB40*0.97)</f>
        <v>62224.53</v>
      </c>
      <c r="AD40" s="3090">
        <v>72224</v>
      </c>
      <c r="AE40" s="2826">
        <f>SUM(AD40*0.97)</f>
        <v>70057.279999999999</v>
      </c>
      <c r="AF40" s="3090">
        <v>27477</v>
      </c>
      <c r="AG40" s="2826">
        <f>SUM(AF40*0.97)</f>
        <v>26652.69</v>
      </c>
      <c r="AH40" s="3090">
        <v>86843</v>
      </c>
      <c r="AI40" s="2826">
        <f>SUM(AH40*0.97)</f>
        <v>84237.709999999992</v>
      </c>
      <c r="AJ40" s="3090">
        <v>236429</v>
      </c>
      <c r="AK40" s="2826">
        <f>SUM(AJ40*0.97)</f>
        <v>229336.13</v>
      </c>
      <c r="AL40" s="3090">
        <v>75612</v>
      </c>
      <c r="AM40" s="2826">
        <f>SUM(AL40*0.97)</f>
        <v>73343.64</v>
      </c>
      <c r="AN40" s="3090">
        <v>13208</v>
      </c>
      <c r="AO40" s="2826">
        <f>SUM(AN40*0.97)</f>
        <v>12811.76</v>
      </c>
      <c r="AP40" s="3090">
        <v>2145</v>
      </c>
      <c r="AQ40" s="2826">
        <f>SUM(AP40*0.97)</f>
        <v>2080.65</v>
      </c>
      <c r="AR40" s="3090">
        <v>413</v>
      </c>
      <c r="AS40" s="2826">
        <f>SUM(AR40*0.97)</f>
        <v>400.61</v>
      </c>
      <c r="AT40" s="3090">
        <v>520</v>
      </c>
      <c r="AU40" s="2826">
        <f>SUM(AT40*0.97)</f>
        <v>504.4</v>
      </c>
      <c r="AV40" s="3090">
        <v>16897</v>
      </c>
      <c r="AW40" s="2826">
        <f>SUM(AV40*0.97)</f>
        <v>16390.09</v>
      </c>
      <c r="AX40" s="3090">
        <v>75612</v>
      </c>
      <c r="AY40" s="2826">
        <f>SUM(AX40*0.97)</f>
        <v>73343.64</v>
      </c>
      <c r="AZ40" s="3964">
        <v>3</v>
      </c>
      <c r="BA40" s="4608">
        <f>SUM(X40)</f>
        <v>9650000</v>
      </c>
      <c r="BB40" s="4608">
        <f>SUM(Y40)</f>
        <v>9650000</v>
      </c>
      <c r="BC40" s="3098">
        <f>BA40/BB40</f>
        <v>1</v>
      </c>
      <c r="BD40" s="3090">
        <v>61</v>
      </c>
      <c r="BE40" s="3090" t="s">
        <v>1686</v>
      </c>
      <c r="BF40" s="3080">
        <v>42583</v>
      </c>
      <c r="BG40" s="2578">
        <v>42583</v>
      </c>
      <c r="BH40" s="3080">
        <v>42735</v>
      </c>
      <c r="BI40" s="2578">
        <v>42735</v>
      </c>
      <c r="BJ40" s="4607" t="s">
        <v>1687</v>
      </c>
    </row>
    <row r="41" spans="1:68" ht="117.75" customHeight="1" x14ac:dyDescent="0.2">
      <c r="A41" s="455"/>
      <c r="B41" s="948"/>
      <c r="C41" s="454"/>
      <c r="D41" s="454"/>
      <c r="E41" s="454"/>
      <c r="F41" s="949"/>
      <c r="G41" s="948"/>
      <c r="H41" s="454"/>
      <c r="I41" s="949"/>
      <c r="J41" s="2107">
        <v>143</v>
      </c>
      <c r="K41" s="2224" t="s">
        <v>1757</v>
      </c>
      <c r="L41" s="2116" t="s">
        <v>146</v>
      </c>
      <c r="M41" s="2116">
        <v>1</v>
      </c>
      <c r="N41" s="2530">
        <v>1</v>
      </c>
      <c r="O41" s="2988"/>
      <c r="P41" s="2636"/>
      <c r="Q41" s="3056"/>
      <c r="R41" s="2122">
        <v>0.1</v>
      </c>
      <c r="S41" s="4614"/>
      <c r="T41" s="2988"/>
      <c r="U41" s="2224" t="s">
        <v>1758</v>
      </c>
      <c r="V41" s="2200" t="s">
        <v>1759</v>
      </c>
      <c r="W41" s="2509">
        <v>0</v>
      </c>
      <c r="X41" s="960">
        <v>0</v>
      </c>
      <c r="Y41" s="960">
        <v>0</v>
      </c>
      <c r="Z41" s="3091"/>
      <c r="AA41" s="3056"/>
      <c r="AB41" s="3091"/>
      <c r="AC41" s="2862"/>
      <c r="AD41" s="3091"/>
      <c r="AE41" s="2862"/>
      <c r="AF41" s="3091"/>
      <c r="AG41" s="2862"/>
      <c r="AH41" s="3091"/>
      <c r="AI41" s="2862"/>
      <c r="AJ41" s="3091"/>
      <c r="AK41" s="2862"/>
      <c r="AL41" s="3091"/>
      <c r="AM41" s="2862"/>
      <c r="AN41" s="3091"/>
      <c r="AO41" s="2862"/>
      <c r="AP41" s="3091"/>
      <c r="AQ41" s="2862"/>
      <c r="AR41" s="3091"/>
      <c r="AS41" s="2862"/>
      <c r="AT41" s="3091"/>
      <c r="AU41" s="2862"/>
      <c r="AV41" s="3091"/>
      <c r="AW41" s="2862"/>
      <c r="AX41" s="3091"/>
      <c r="AY41" s="2862"/>
      <c r="AZ41" s="3964"/>
      <c r="BA41" s="4610"/>
      <c r="BB41" s="4610"/>
      <c r="BC41" s="4626" t="e">
        <f t="shared" si="0"/>
        <v>#DIV/0!</v>
      </c>
      <c r="BD41" s="3091"/>
      <c r="BE41" s="3091"/>
      <c r="BF41" s="3082"/>
      <c r="BG41" s="2580"/>
      <c r="BH41" s="3082"/>
      <c r="BI41" s="2580"/>
      <c r="BJ41" s="4607"/>
    </row>
    <row r="42" spans="1:68" s="356" customFormat="1" ht="156.75" x14ac:dyDescent="0.2">
      <c r="A42" s="984"/>
      <c r="B42" s="985"/>
      <c r="C42" s="986"/>
      <c r="D42" s="986"/>
      <c r="E42" s="986"/>
      <c r="F42" s="987"/>
      <c r="G42" s="985"/>
      <c r="H42" s="986"/>
      <c r="I42" s="987"/>
      <c r="J42" s="2119">
        <v>144</v>
      </c>
      <c r="K42" s="358" t="s">
        <v>1760</v>
      </c>
      <c r="L42" s="2120" t="s">
        <v>146</v>
      </c>
      <c r="M42" s="2101">
        <v>5</v>
      </c>
      <c r="N42" s="2530">
        <v>4</v>
      </c>
      <c r="O42" s="498" t="s">
        <v>1761</v>
      </c>
      <c r="P42" s="2301">
        <v>140</v>
      </c>
      <c r="Q42" s="2147" t="s">
        <v>1762</v>
      </c>
      <c r="R42" s="2118">
        <v>1</v>
      </c>
      <c r="S42" s="2524">
        <v>77600000</v>
      </c>
      <c r="T42" s="2125" t="s">
        <v>1763</v>
      </c>
      <c r="U42" s="358" t="s">
        <v>1764</v>
      </c>
      <c r="V42" s="2148" t="s">
        <v>1765</v>
      </c>
      <c r="W42" s="988">
        <v>77600000</v>
      </c>
      <c r="X42" s="989">
        <v>77600000</v>
      </c>
      <c r="Y42" s="989">
        <v>77600000</v>
      </c>
      <c r="Z42" s="2173">
        <v>61</v>
      </c>
      <c r="AA42" s="2125" t="s">
        <v>1685</v>
      </c>
      <c r="AB42" s="2201">
        <v>27768</v>
      </c>
      <c r="AC42" s="2170">
        <f>SUM(AB42*1)</f>
        <v>27768</v>
      </c>
      <c r="AD42" s="2201">
        <v>40321</v>
      </c>
      <c r="AE42" s="2170">
        <f>SUM(AD42*1)</f>
        <v>40321</v>
      </c>
      <c r="AF42" s="2201">
        <v>13182</v>
      </c>
      <c r="AG42" s="2170">
        <f>SUM(AF42*1)</f>
        <v>13182</v>
      </c>
      <c r="AH42" s="2201">
        <v>42187</v>
      </c>
      <c r="AI42" s="2170">
        <f>SUM(AH42*1)</f>
        <v>42187</v>
      </c>
      <c r="AJ42" s="2201">
        <v>109758</v>
      </c>
      <c r="AK42" s="2170">
        <f>SUM(AJ42*1)</f>
        <v>109758</v>
      </c>
      <c r="AL42" s="2201">
        <v>37091</v>
      </c>
      <c r="AM42" s="2170">
        <f>SUM(AL42*1)</f>
        <v>37091</v>
      </c>
      <c r="AN42" s="2201" t="s">
        <v>1766</v>
      </c>
      <c r="AO42" s="2170" t="s">
        <v>1766</v>
      </c>
      <c r="AP42" s="2201" t="s">
        <v>1766</v>
      </c>
      <c r="AQ42" s="2170" t="s">
        <v>1766</v>
      </c>
      <c r="AR42" s="2201" t="s">
        <v>1766</v>
      </c>
      <c r="AS42" s="2170" t="s">
        <v>1766</v>
      </c>
      <c r="AT42" s="2201" t="s">
        <v>1766</v>
      </c>
      <c r="AU42" s="2170" t="s">
        <v>1766</v>
      </c>
      <c r="AV42" s="2201" t="s">
        <v>1766</v>
      </c>
      <c r="AW42" s="2170" t="s">
        <v>1766</v>
      </c>
      <c r="AX42" s="2201" t="s">
        <v>1766</v>
      </c>
      <c r="AY42" s="2170" t="s">
        <v>1766</v>
      </c>
      <c r="AZ42" s="2380">
        <v>11</v>
      </c>
      <c r="BA42" s="2501">
        <v>77600000</v>
      </c>
      <c r="BB42" s="2501">
        <v>77600000</v>
      </c>
      <c r="BC42" s="2274">
        <f>BB42/BA42</f>
        <v>1</v>
      </c>
      <c r="BD42" s="2380">
        <v>61</v>
      </c>
      <c r="BE42" s="2380" t="s">
        <v>1686</v>
      </c>
      <c r="BF42" s="2113">
        <v>42583</v>
      </c>
      <c r="BG42" s="2112">
        <v>42583</v>
      </c>
      <c r="BH42" s="2113">
        <v>42735</v>
      </c>
      <c r="BI42" s="2112">
        <v>42735</v>
      </c>
      <c r="BJ42" s="2522" t="s">
        <v>1687</v>
      </c>
    </row>
    <row r="43" spans="1:68" ht="58.5" customHeight="1" x14ac:dyDescent="0.2">
      <c r="A43" s="924"/>
      <c r="B43" s="931"/>
      <c r="C43" s="689"/>
      <c r="D43" s="689"/>
      <c r="E43" s="689"/>
      <c r="F43" s="932"/>
      <c r="G43" s="931"/>
      <c r="H43" s="689"/>
      <c r="I43" s="932"/>
      <c r="J43" s="2707">
        <v>144</v>
      </c>
      <c r="K43" s="3054" t="s">
        <v>1760</v>
      </c>
      <c r="L43" s="2707" t="s">
        <v>146</v>
      </c>
      <c r="M43" s="2600">
        <v>5</v>
      </c>
      <c r="N43" s="2672">
        <v>4</v>
      </c>
      <c r="O43" s="2605" t="s">
        <v>1767</v>
      </c>
      <c r="P43" s="2600">
        <v>141</v>
      </c>
      <c r="Q43" s="3054" t="s">
        <v>1768</v>
      </c>
      <c r="R43" s="3098">
        <f>(W43+W44)/S43</f>
        <v>0.7699903320330661</v>
      </c>
      <c r="S43" s="4627">
        <v>342259135</v>
      </c>
      <c r="T43" s="2605" t="s">
        <v>1769</v>
      </c>
      <c r="U43" s="2605" t="s">
        <v>1770</v>
      </c>
      <c r="V43" s="2200" t="s">
        <v>1771</v>
      </c>
      <c r="W43" s="990">
        <v>78600534</v>
      </c>
      <c r="X43" s="991">
        <v>22034550</v>
      </c>
      <c r="Y43" s="991">
        <v>22034550</v>
      </c>
      <c r="Z43" s="3964">
        <v>108</v>
      </c>
      <c r="AA43" s="3054" t="s">
        <v>1685</v>
      </c>
      <c r="AB43" s="3090">
        <v>27768</v>
      </c>
      <c r="AC43" s="2826">
        <f>SUM(AB43*0.22)</f>
        <v>6108.96</v>
      </c>
      <c r="AD43" s="3090">
        <v>40321</v>
      </c>
      <c r="AE43" s="2826">
        <f>SUM(AD43*0.22)</f>
        <v>8870.6200000000008</v>
      </c>
      <c r="AF43" s="3090">
        <v>13182</v>
      </c>
      <c r="AG43" s="2826">
        <f>SUM(AF43*0.22)</f>
        <v>2900.04</v>
      </c>
      <c r="AH43" s="3090">
        <v>42187</v>
      </c>
      <c r="AI43" s="2826">
        <f>SUM(AH43*0.22)</f>
        <v>9281.14</v>
      </c>
      <c r="AJ43" s="3090">
        <v>109758</v>
      </c>
      <c r="AK43" s="2826">
        <f>SUM(AJ43*0.22)</f>
        <v>24146.76</v>
      </c>
      <c r="AL43" s="3090">
        <v>37091</v>
      </c>
      <c r="AM43" s="2826">
        <f>SUM(AL43*0.22)</f>
        <v>8160.02</v>
      </c>
      <c r="AN43" s="3090" t="s">
        <v>1766</v>
      </c>
      <c r="AO43" s="2826" t="s">
        <v>1766</v>
      </c>
      <c r="AP43" s="3090" t="s">
        <v>1766</v>
      </c>
      <c r="AQ43" s="2826" t="s">
        <v>1766</v>
      </c>
      <c r="AR43" s="3090" t="s">
        <v>1766</v>
      </c>
      <c r="AS43" s="2826" t="s">
        <v>1766</v>
      </c>
      <c r="AT43" s="3090" t="s">
        <v>1766</v>
      </c>
      <c r="AU43" s="2826" t="s">
        <v>1766</v>
      </c>
      <c r="AV43" s="3090" t="s">
        <v>1766</v>
      </c>
      <c r="AW43" s="2826" t="s">
        <v>1766</v>
      </c>
      <c r="AX43" s="3090" t="s">
        <v>1766</v>
      </c>
      <c r="AY43" s="2826" t="s">
        <v>1766</v>
      </c>
      <c r="AZ43" s="3090">
        <v>18</v>
      </c>
      <c r="BA43" s="4608">
        <f>SUM(X43:X46)</f>
        <v>74327883</v>
      </c>
      <c r="BB43" s="4608">
        <f>SUM(Y43:Y46)</f>
        <v>74327883</v>
      </c>
      <c r="BC43" s="3098">
        <f>BB43/BA43</f>
        <v>1</v>
      </c>
      <c r="BD43" s="3090">
        <v>61</v>
      </c>
      <c r="BE43" s="3090" t="s">
        <v>1686</v>
      </c>
      <c r="BF43" s="3080">
        <v>42583</v>
      </c>
      <c r="BG43" s="2578">
        <v>42583</v>
      </c>
      <c r="BH43" s="3080">
        <v>42735</v>
      </c>
      <c r="BI43" s="2578">
        <v>42735</v>
      </c>
      <c r="BJ43" s="4607" t="s">
        <v>1687</v>
      </c>
    </row>
    <row r="44" spans="1:68" ht="58.5" customHeight="1" x14ac:dyDescent="0.2">
      <c r="A44" s="924"/>
      <c r="B44" s="931"/>
      <c r="C44" s="689"/>
      <c r="D44" s="689"/>
      <c r="E44" s="689"/>
      <c r="F44" s="932"/>
      <c r="G44" s="931"/>
      <c r="H44" s="689"/>
      <c r="I44" s="932"/>
      <c r="J44" s="2709"/>
      <c r="K44" s="3056"/>
      <c r="L44" s="2709"/>
      <c r="M44" s="2636"/>
      <c r="N44" s="2674"/>
      <c r="O44" s="2987"/>
      <c r="P44" s="2601"/>
      <c r="Q44" s="3055"/>
      <c r="R44" s="3099"/>
      <c r="S44" s="4628"/>
      <c r="T44" s="2987"/>
      <c r="U44" s="2988"/>
      <c r="V44" s="2200" t="s">
        <v>1772</v>
      </c>
      <c r="W44" s="992">
        <v>184935691</v>
      </c>
      <c r="X44" s="991">
        <v>23400000</v>
      </c>
      <c r="Y44" s="991">
        <v>23400000</v>
      </c>
      <c r="Z44" s="3964"/>
      <c r="AA44" s="3055"/>
      <c r="AB44" s="4007"/>
      <c r="AC44" s="2827"/>
      <c r="AD44" s="4007"/>
      <c r="AE44" s="2827"/>
      <c r="AF44" s="4007"/>
      <c r="AG44" s="2827"/>
      <c r="AH44" s="4007"/>
      <c r="AI44" s="2827"/>
      <c r="AJ44" s="4007"/>
      <c r="AK44" s="2827"/>
      <c r="AL44" s="4007"/>
      <c r="AM44" s="2827"/>
      <c r="AN44" s="4007"/>
      <c r="AO44" s="2827"/>
      <c r="AP44" s="4007"/>
      <c r="AQ44" s="2827"/>
      <c r="AR44" s="4007"/>
      <c r="AS44" s="2827"/>
      <c r="AT44" s="4007"/>
      <c r="AU44" s="2827"/>
      <c r="AV44" s="4007"/>
      <c r="AW44" s="2827"/>
      <c r="AX44" s="4007"/>
      <c r="AY44" s="2827"/>
      <c r="AZ44" s="4007"/>
      <c r="BA44" s="4609"/>
      <c r="BB44" s="4609"/>
      <c r="BC44" s="4630" t="e">
        <f t="shared" si="0"/>
        <v>#DIV/0!</v>
      </c>
      <c r="BD44" s="4007"/>
      <c r="BE44" s="4007"/>
      <c r="BF44" s="3081"/>
      <c r="BG44" s="2579"/>
      <c r="BH44" s="3081"/>
      <c r="BI44" s="2579"/>
      <c r="BJ44" s="4607"/>
    </row>
    <row r="45" spans="1:68" ht="57.75" customHeight="1" x14ac:dyDescent="0.2">
      <c r="A45" s="924"/>
      <c r="B45" s="931"/>
      <c r="C45" s="689"/>
      <c r="D45" s="689"/>
      <c r="E45" s="689"/>
      <c r="F45" s="932"/>
      <c r="G45" s="931"/>
      <c r="H45" s="689"/>
      <c r="I45" s="932"/>
      <c r="J45" s="2707">
        <v>145</v>
      </c>
      <c r="K45" s="3054" t="s">
        <v>1773</v>
      </c>
      <c r="L45" s="2707" t="s">
        <v>146</v>
      </c>
      <c r="M45" s="2707">
        <v>1</v>
      </c>
      <c r="N45" s="2821">
        <v>1</v>
      </c>
      <c r="O45" s="2987"/>
      <c r="P45" s="2601"/>
      <c r="Q45" s="3055"/>
      <c r="R45" s="3098">
        <f>(W45+W46)/S43</f>
        <v>0.2300096679669339</v>
      </c>
      <c r="S45" s="4628"/>
      <c r="T45" s="2987"/>
      <c r="U45" s="2605" t="s">
        <v>1774</v>
      </c>
      <c r="V45" s="2200" t="s">
        <v>1775</v>
      </c>
      <c r="W45" s="990">
        <v>38500000</v>
      </c>
      <c r="X45" s="991">
        <v>15000000</v>
      </c>
      <c r="Y45" s="991">
        <v>15000000</v>
      </c>
      <c r="Z45" s="3964">
        <v>98</v>
      </c>
      <c r="AA45" s="3055"/>
      <c r="AB45" s="4007"/>
      <c r="AC45" s="2827"/>
      <c r="AD45" s="4007"/>
      <c r="AE45" s="2827"/>
      <c r="AF45" s="4007"/>
      <c r="AG45" s="2827"/>
      <c r="AH45" s="4007"/>
      <c r="AI45" s="2827"/>
      <c r="AJ45" s="4007"/>
      <c r="AK45" s="2827"/>
      <c r="AL45" s="4007"/>
      <c r="AM45" s="2827"/>
      <c r="AN45" s="4007"/>
      <c r="AO45" s="2827"/>
      <c r="AP45" s="4007"/>
      <c r="AQ45" s="2827"/>
      <c r="AR45" s="4007"/>
      <c r="AS45" s="2827"/>
      <c r="AT45" s="4007"/>
      <c r="AU45" s="2827"/>
      <c r="AV45" s="4007"/>
      <c r="AW45" s="2827"/>
      <c r="AX45" s="4007"/>
      <c r="AY45" s="2827"/>
      <c r="AZ45" s="4007"/>
      <c r="BA45" s="4609"/>
      <c r="BB45" s="4609"/>
      <c r="BC45" s="4630" t="e">
        <f t="shared" si="0"/>
        <v>#DIV/0!</v>
      </c>
      <c r="BD45" s="4007"/>
      <c r="BE45" s="4007"/>
      <c r="BF45" s="3081"/>
      <c r="BG45" s="2579"/>
      <c r="BH45" s="3081"/>
      <c r="BI45" s="2579"/>
      <c r="BJ45" s="4607"/>
    </row>
    <row r="46" spans="1:68" ht="57.75" customHeight="1" x14ac:dyDescent="0.2">
      <c r="A46" s="924"/>
      <c r="B46" s="931"/>
      <c r="C46" s="689"/>
      <c r="D46" s="689"/>
      <c r="E46" s="689"/>
      <c r="F46" s="932"/>
      <c r="G46" s="931"/>
      <c r="H46" s="689"/>
      <c r="I46" s="932"/>
      <c r="J46" s="2709"/>
      <c r="K46" s="3056"/>
      <c r="L46" s="2709"/>
      <c r="M46" s="2709"/>
      <c r="N46" s="2823"/>
      <c r="O46" s="2988"/>
      <c r="P46" s="2636"/>
      <c r="Q46" s="3056"/>
      <c r="R46" s="3099"/>
      <c r="S46" s="4629"/>
      <c r="T46" s="2988"/>
      <c r="U46" s="2988"/>
      <c r="V46" s="2200" t="s">
        <v>1776</v>
      </c>
      <c r="W46" s="992">
        <v>40222910</v>
      </c>
      <c r="X46" s="991">
        <v>13893333</v>
      </c>
      <c r="Y46" s="991">
        <v>13893333</v>
      </c>
      <c r="Z46" s="3964"/>
      <c r="AA46" s="3056"/>
      <c r="AB46" s="3091"/>
      <c r="AC46" s="2862"/>
      <c r="AD46" s="3091"/>
      <c r="AE46" s="2862"/>
      <c r="AF46" s="3091"/>
      <c r="AG46" s="2862"/>
      <c r="AH46" s="3091"/>
      <c r="AI46" s="2862"/>
      <c r="AJ46" s="3091"/>
      <c r="AK46" s="2862"/>
      <c r="AL46" s="3091"/>
      <c r="AM46" s="2862"/>
      <c r="AN46" s="3091"/>
      <c r="AO46" s="2862"/>
      <c r="AP46" s="3091"/>
      <c r="AQ46" s="2862"/>
      <c r="AR46" s="3091"/>
      <c r="AS46" s="2862"/>
      <c r="AT46" s="3091"/>
      <c r="AU46" s="2862"/>
      <c r="AV46" s="3091"/>
      <c r="AW46" s="2862"/>
      <c r="AX46" s="3091"/>
      <c r="AY46" s="2862"/>
      <c r="AZ46" s="3091"/>
      <c r="BA46" s="4610"/>
      <c r="BB46" s="4610"/>
      <c r="BC46" s="4626" t="e">
        <f t="shared" si="0"/>
        <v>#DIV/0!</v>
      </c>
      <c r="BD46" s="3091"/>
      <c r="BE46" s="3091"/>
      <c r="BF46" s="3082"/>
      <c r="BG46" s="2580"/>
      <c r="BH46" s="3082"/>
      <c r="BI46" s="2580"/>
      <c r="BJ46" s="4607"/>
    </row>
    <row r="47" spans="1:68" ht="51.75" customHeight="1" x14ac:dyDescent="0.2">
      <c r="A47" s="924"/>
      <c r="B47" s="931"/>
      <c r="C47" s="689"/>
      <c r="D47" s="689"/>
      <c r="E47" s="689"/>
      <c r="F47" s="932"/>
      <c r="G47" s="931"/>
      <c r="H47" s="689"/>
      <c r="I47" s="932"/>
      <c r="J47" s="2707">
        <v>146</v>
      </c>
      <c r="K47" s="3054" t="s">
        <v>1777</v>
      </c>
      <c r="L47" s="2707" t="s">
        <v>146</v>
      </c>
      <c r="M47" s="2707">
        <v>1</v>
      </c>
      <c r="N47" s="2821">
        <v>1</v>
      </c>
      <c r="O47" s="2605" t="s">
        <v>1778</v>
      </c>
      <c r="P47" s="2600">
        <v>142</v>
      </c>
      <c r="Q47" s="3054" t="s">
        <v>1779</v>
      </c>
      <c r="R47" s="3098">
        <v>1</v>
      </c>
      <c r="S47" s="4627">
        <v>203297270</v>
      </c>
      <c r="T47" s="2605" t="s">
        <v>1780</v>
      </c>
      <c r="U47" s="2605" t="s">
        <v>1781</v>
      </c>
      <c r="V47" s="2200" t="s">
        <v>1782</v>
      </c>
      <c r="W47" s="2505">
        <v>188983936</v>
      </c>
      <c r="X47" s="930">
        <v>119494245</v>
      </c>
      <c r="Y47" s="930">
        <v>119494245</v>
      </c>
      <c r="Z47" s="3090">
        <v>61</v>
      </c>
      <c r="AA47" s="3054" t="s">
        <v>1685</v>
      </c>
      <c r="AB47" s="3090">
        <v>64149</v>
      </c>
      <c r="AC47" s="2826">
        <f>SUM(AB47*0.64)</f>
        <v>41055.360000000001</v>
      </c>
      <c r="AD47" s="3090">
        <v>72224</v>
      </c>
      <c r="AE47" s="2826">
        <f>SUM(AD47*0.64)</f>
        <v>46223.360000000001</v>
      </c>
      <c r="AF47" s="3090">
        <v>27477</v>
      </c>
      <c r="AG47" s="2826">
        <f>SUM(AF47*0.64)</f>
        <v>17585.28</v>
      </c>
      <c r="AH47" s="3090">
        <v>86843</v>
      </c>
      <c r="AI47" s="2826">
        <f>SUM(AH47*0.64)</f>
        <v>55579.520000000004</v>
      </c>
      <c r="AJ47" s="3090">
        <v>236429</v>
      </c>
      <c r="AK47" s="2826">
        <f>SUM(AJ47*0.64)</f>
        <v>151314.56</v>
      </c>
      <c r="AL47" s="3090">
        <v>75612</v>
      </c>
      <c r="AM47" s="2826">
        <f>SUM(AL47*0.64)</f>
        <v>48391.68</v>
      </c>
      <c r="AN47" s="3090">
        <v>13208</v>
      </c>
      <c r="AO47" s="2826">
        <f>SUM(AN47*0.64)</f>
        <v>8453.1200000000008</v>
      </c>
      <c r="AP47" s="3090">
        <v>2145</v>
      </c>
      <c r="AQ47" s="2826">
        <f>SUM(AP47*0.64)</f>
        <v>1372.8</v>
      </c>
      <c r="AR47" s="3090">
        <v>413</v>
      </c>
      <c r="AS47" s="2826">
        <f>SUM(AR47*0.64)</f>
        <v>264.32</v>
      </c>
      <c r="AT47" s="3090">
        <v>520</v>
      </c>
      <c r="AU47" s="2826">
        <f>SUM(AT47*0.64)</f>
        <v>332.8</v>
      </c>
      <c r="AV47" s="3090">
        <v>16897</v>
      </c>
      <c r="AW47" s="2826">
        <f>SUM(AV47*0.64)</f>
        <v>10814.08</v>
      </c>
      <c r="AX47" s="3090">
        <v>75612</v>
      </c>
      <c r="AY47" s="2826">
        <f>SUM(AX47*0.64)</f>
        <v>48391.68</v>
      </c>
      <c r="AZ47" s="3964">
        <v>19</v>
      </c>
      <c r="BA47" s="4608">
        <f>SUM(X47:X49)</f>
        <v>129494245</v>
      </c>
      <c r="BB47" s="4608">
        <f>SUM(Y47:Y49)</f>
        <v>129494245</v>
      </c>
      <c r="BC47" s="3098">
        <f>BB47/BA47</f>
        <v>1</v>
      </c>
      <c r="BD47" s="3090">
        <v>61</v>
      </c>
      <c r="BE47" s="3090" t="s">
        <v>1686</v>
      </c>
      <c r="BF47" s="3080">
        <v>42583</v>
      </c>
      <c r="BG47" s="2578">
        <v>42583</v>
      </c>
      <c r="BH47" s="3080">
        <v>42735</v>
      </c>
      <c r="BI47" s="2578">
        <v>42735</v>
      </c>
      <c r="BJ47" s="4607" t="s">
        <v>1687</v>
      </c>
    </row>
    <row r="48" spans="1:68" ht="37.5" customHeight="1" x14ac:dyDescent="0.2">
      <c r="A48" s="924"/>
      <c r="B48" s="931"/>
      <c r="C48" s="689"/>
      <c r="D48" s="689"/>
      <c r="E48" s="689"/>
      <c r="F48" s="932"/>
      <c r="G48" s="931"/>
      <c r="H48" s="689"/>
      <c r="I48" s="932"/>
      <c r="J48" s="2708"/>
      <c r="K48" s="3055"/>
      <c r="L48" s="2708"/>
      <c r="M48" s="2708"/>
      <c r="N48" s="2822"/>
      <c r="O48" s="2987"/>
      <c r="P48" s="2601"/>
      <c r="Q48" s="3055"/>
      <c r="R48" s="3234"/>
      <c r="S48" s="4628"/>
      <c r="T48" s="2987"/>
      <c r="U48" s="2987"/>
      <c r="V48" s="2200" t="s">
        <v>1746</v>
      </c>
      <c r="W48" s="2505">
        <v>4313334</v>
      </c>
      <c r="X48" s="930">
        <v>0</v>
      </c>
      <c r="Y48" s="930">
        <v>0</v>
      </c>
      <c r="Z48" s="4007"/>
      <c r="AA48" s="3055"/>
      <c r="AB48" s="4007"/>
      <c r="AC48" s="2827"/>
      <c r="AD48" s="4007"/>
      <c r="AE48" s="2827"/>
      <c r="AF48" s="4007"/>
      <c r="AG48" s="2827"/>
      <c r="AH48" s="4007"/>
      <c r="AI48" s="2827"/>
      <c r="AJ48" s="4007"/>
      <c r="AK48" s="2827"/>
      <c r="AL48" s="4007"/>
      <c r="AM48" s="2827"/>
      <c r="AN48" s="4007"/>
      <c r="AO48" s="2827"/>
      <c r="AP48" s="4007"/>
      <c r="AQ48" s="2827"/>
      <c r="AR48" s="4007"/>
      <c r="AS48" s="2827"/>
      <c r="AT48" s="4007"/>
      <c r="AU48" s="2827"/>
      <c r="AV48" s="4007"/>
      <c r="AW48" s="2827"/>
      <c r="AX48" s="4007"/>
      <c r="AY48" s="2827"/>
      <c r="AZ48" s="3964"/>
      <c r="BA48" s="4609"/>
      <c r="BB48" s="4609"/>
      <c r="BC48" s="4630" t="e">
        <f t="shared" si="0"/>
        <v>#DIV/0!</v>
      </c>
      <c r="BD48" s="4007"/>
      <c r="BE48" s="4007"/>
      <c r="BF48" s="3081"/>
      <c r="BG48" s="2579"/>
      <c r="BH48" s="3081"/>
      <c r="BI48" s="2579"/>
      <c r="BJ48" s="4607"/>
    </row>
    <row r="49" spans="1:68" ht="51" customHeight="1" x14ac:dyDescent="0.2">
      <c r="A49" s="924"/>
      <c r="B49" s="931"/>
      <c r="C49" s="689"/>
      <c r="D49" s="689"/>
      <c r="E49" s="689"/>
      <c r="F49" s="932"/>
      <c r="G49" s="936"/>
      <c r="H49" s="937"/>
      <c r="I49" s="938"/>
      <c r="J49" s="2709"/>
      <c r="K49" s="3056"/>
      <c r="L49" s="2709"/>
      <c r="M49" s="2709"/>
      <c r="N49" s="2823"/>
      <c r="O49" s="2988"/>
      <c r="P49" s="2636"/>
      <c r="Q49" s="3056"/>
      <c r="R49" s="3099"/>
      <c r="S49" s="4629"/>
      <c r="T49" s="2988"/>
      <c r="U49" s="2988"/>
      <c r="V49" s="2200" t="s">
        <v>1783</v>
      </c>
      <c r="W49" s="2505">
        <v>10000000</v>
      </c>
      <c r="X49" s="989">
        <v>10000000</v>
      </c>
      <c r="Y49" s="989">
        <v>10000000</v>
      </c>
      <c r="Z49" s="3091"/>
      <c r="AA49" s="3056"/>
      <c r="AB49" s="3091"/>
      <c r="AC49" s="2862"/>
      <c r="AD49" s="3091"/>
      <c r="AE49" s="2862"/>
      <c r="AF49" s="3091"/>
      <c r="AG49" s="2862"/>
      <c r="AH49" s="3091"/>
      <c r="AI49" s="2862"/>
      <c r="AJ49" s="3091"/>
      <c r="AK49" s="2862"/>
      <c r="AL49" s="3091"/>
      <c r="AM49" s="2862"/>
      <c r="AN49" s="3091"/>
      <c r="AO49" s="2862"/>
      <c r="AP49" s="3091"/>
      <c r="AQ49" s="2862"/>
      <c r="AR49" s="3091"/>
      <c r="AS49" s="2862"/>
      <c r="AT49" s="3091"/>
      <c r="AU49" s="2862"/>
      <c r="AV49" s="3091"/>
      <c r="AW49" s="2862"/>
      <c r="AX49" s="3091"/>
      <c r="AY49" s="2862"/>
      <c r="AZ49" s="3964"/>
      <c r="BA49" s="4610"/>
      <c r="BB49" s="4610"/>
      <c r="BC49" s="4626" t="e">
        <f t="shared" si="0"/>
        <v>#DIV/0!</v>
      </c>
      <c r="BD49" s="3091"/>
      <c r="BE49" s="3091"/>
      <c r="BF49" s="3082"/>
      <c r="BG49" s="2580"/>
      <c r="BH49" s="3082"/>
      <c r="BI49" s="2580"/>
      <c r="BJ49" s="4607"/>
    </row>
    <row r="50" spans="1:68" ht="32.25" customHeight="1" x14ac:dyDescent="0.2">
      <c r="A50" s="916"/>
      <c r="B50" s="925"/>
      <c r="C50" s="519"/>
      <c r="D50" s="519"/>
      <c r="E50" s="519"/>
      <c r="F50" s="926"/>
      <c r="G50" s="920">
        <v>41</v>
      </c>
      <c r="H50" s="50" t="s">
        <v>1784</v>
      </c>
      <c r="I50" s="50"/>
      <c r="J50" s="1376"/>
      <c r="K50" s="412"/>
      <c r="L50" s="2520"/>
      <c r="M50" s="2520"/>
      <c r="N50" s="643"/>
      <c r="O50" s="412"/>
      <c r="P50" s="2520"/>
      <c r="Q50" s="412"/>
      <c r="R50" s="2520"/>
      <c r="S50" s="993"/>
      <c r="T50" s="412"/>
      <c r="U50" s="412"/>
      <c r="V50" s="946"/>
      <c r="W50" s="946"/>
      <c r="X50" s="947"/>
      <c r="Y50" s="947"/>
      <c r="Z50" s="2519"/>
      <c r="AA50" s="412"/>
      <c r="AB50" s="412"/>
      <c r="AC50" s="921"/>
      <c r="AD50" s="412"/>
      <c r="AE50" s="921"/>
      <c r="AF50" s="412"/>
      <c r="AG50" s="921"/>
      <c r="AH50" s="412"/>
      <c r="AI50" s="4605"/>
      <c r="AJ50" s="4606"/>
      <c r="AK50" s="994"/>
      <c r="AL50" s="4605"/>
      <c r="AM50" s="4605"/>
      <c r="AN50" s="4605"/>
      <c r="AO50" s="4606"/>
      <c r="AP50" s="412"/>
      <c r="AQ50" s="921"/>
      <c r="AR50" s="412"/>
      <c r="AS50" s="921"/>
      <c r="AT50" s="412"/>
      <c r="AU50" s="921"/>
      <c r="AV50" s="412"/>
      <c r="AW50" s="921"/>
      <c r="AX50" s="412"/>
      <c r="AY50" s="921"/>
      <c r="AZ50" s="412"/>
      <c r="BA50" s="1553"/>
      <c r="BB50" s="1553"/>
      <c r="BC50" s="943"/>
      <c r="BD50" s="412"/>
      <c r="BE50" s="412"/>
      <c r="BF50" s="50"/>
      <c r="BG50" s="411"/>
      <c r="BH50" s="50"/>
      <c r="BI50" s="411"/>
      <c r="BJ50" s="50"/>
      <c r="BK50" s="1"/>
      <c r="BL50" s="1"/>
      <c r="BM50" s="1"/>
      <c r="BN50" s="1"/>
      <c r="BO50" s="1"/>
      <c r="BP50" s="1"/>
    </row>
    <row r="51" spans="1:68" ht="91.5" customHeight="1" x14ac:dyDescent="0.2">
      <c r="A51" s="924"/>
      <c r="B51" s="931"/>
      <c r="C51" s="689"/>
      <c r="D51" s="689"/>
      <c r="E51" s="689"/>
      <c r="F51" s="932"/>
      <c r="G51" s="927"/>
      <c r="H51" s="928"/>
      <c r="I51" s="929"/>
      <c r="J51" s="2107">
        <v>147</v>
      </c>
      <c r="K51" s="2224" t="s">
        <v>1785</v>
      </c>
      <c r="L51" s="2116" t="s">
        <v>146</v>
      </c>
      <c r="M51" s="2116">
        <v>14</v>
      </c>
      <c r="N51" s="2485">
        <v>0</v>
      </c>
      <c r="O51" s="2605" t="s">
        <v>1786</v>
      </c>
      <c r="P51" s="2600">
        <v>143</v>
      </c>
      <c r="Q51" s="3054" t="s">
        <v>1787</v>
      </c>
      <c r="R51" s="2276">
        <v>0.5</v>
      </c>
      <c r="S51" s="4613">
        <v>10000000</v>
      </c>
      <c r="T51" s="2605" t="s">
        <v>1788</v>
      </c>
      <c r="U51" s="2224" t="s">
        <v>1789</v>
      </c>
      <c r="V51" s="2200" t="s">
        <v>1790</v>
      </c>
      <c r="W51" s="2509">
        <v>5000000</v>
      </c>
      <c r="X51" s="957">
        <v>0</v>
      </c>
      <c r="Y51" s="957">
        <v>0</v>
      </c>
      <c r="Z51" s="3090">
        <v>61</v>
      </c>
      <c r="AA51" s="3054" t="s">
        <v>1685</v>
      </c>
      <c r="AB51" s="3090">
        <v>64149</v>
      </c>
      <c r="AC51" s="2826">
        <v>0</v>
      </c>
      <c r="AD51" s="3090">
        <v>72224</v>
      </c>
      <c r="AE51" s="2826">
        <v>0</v>
      </c>
      <c r="AF51" s="3090">
        <v>27477</v>
      </c>
      <c r="AG51" s="2826">
        <v>0</v>
      </c>
      <c r="AH51" s="3090">
        <v>86843</v>
      </c>
      <c r="AI51" s="2826">
        <v>0</v>
      </c>
      <c r="AJ51" s="3090">
        <v>236429</v>
      </c>
      <c r="AK51" s="2826">
        <v>0</v>
      </c>
      <c r="AL51" s="3090">
        <v>75612</v>
      </c>
      <c r="AM51" s="2826">
        <v>0</v>
      </c>
      <c r="AN51" s="3090">
        <v>13208</v>
      </c>
      <c r="AO51" s="2826">
        <v>0</v>
      </c>
      <c r="AP51" s="3090">
        <v>2145</v>
      </c>
      <c r="AQ51" s="2826">
        <v>0</v>
      </c>
      <c r="AR51" s="3090">
        <v>413</v>
      </c>
      <c r="AS51" s="2826">
        <v>0</v>
      </c>
      <c r="AT51" s="3090">
        <v>520</v>
      </c>
      <c r="AU51" s="2826">
        <v>0</v>
      </c>
      <c r="AV51" s="3090">
        <v>16897</v>
      </c>
      <c r="AW51" s="2826">
        <v>0</v>
      </c>
      <c r="AX51" s="3090">
        <v>75612</v>
      </c>
      <c r="AY51" s="2826">
        <v>0</v>
      </c>
      <c r="AZ51" s="4007">
        <v>0</v>
      </c>
      <c r="BA51" s="4608">
        <v>0</v>
      </c>
      <c r="BB51" s="4608">
        <v>0</v>
      </c>
      <c r="BC51" s="3098">
        <v>0</v>
      </c>
      <c r="BD51" s="3090">
        <v>61</v>
      </c>
      <c r="BE51" s="3090" t="s">
        <v>1686</v>
      </c>
      <c r="BF51" s="3080">
        <v>42583</v>
      </c>
      <c r="BG51" s="2578">
        <v>42583</v>
      </c>
      <c r="BH51" s="3080">
        <v>42735</v>
      </c>
      <c r="BI51" s="2578">
        <v>42735</v>
      </c>
      <c r="BJ51" s="4607" t="s">
        <v>1687</v>
      </c>
    </row>
    <row r="52" spans="1:68" ht="126.75" customHeight="1" x14ac:dyDescent="0.2">
      <c r="A52" s="924"/>
      <c r="B52" s="931"/>
      <c r="C52" s="689"/>
      <c r="D52" s="689"/>
      <c r="E52" s="689"/>
      <c r="F52" s="932"/>
      <c r="G52" s="936"/>
      <c r="H52" s="937"/>
      <c r="I52" s="938"/>
      <c r="J52" s="2107">
        <v>148</v>
      </c>
      <c r="K52" s="2224" t="s">
        <v>1791</v>
      </c>
      <c r="L52" s="2116" t="s">
        <v>146</v>
      </c>
      <c r="M52" s="2116">
        <v>11</v>
      </c>
      <c r="N52" s="2485">
        <v>0</v>
      </c>
      <c r="O52" s="2988"/>
      <c r="P52" s="2636"/>
      <c r="Q52" s="3056"/>
      <c r="R52" s="2276">
        <v>0.5</v>
      </c>
      <c r="S52" s="4614"/>
      <c r="T52" s="2988"/>
      <c r="U52" s="2224" t="s">
        <v>1792</v>
      </c>
      <c r="V52" s="2200" t="s">
        <v>1793</v>
      </c>
      <c r="W52" s="2509">
        <v>5000000</v>
      </c>
      <c r="X52" s="960">
        <v>0</v>
      </c>
      <c r="Y52" s="960">
        <v>0</v>
      </c>
      <c r="Z52" s="3091"/>
      <c r="AA52" s="3056"/>
      <c r="AB52" s="3091"/>
      <c r="AC52" s="2862"/>
      <c r="AD52" s="3091"/>
      <c r="AE52" s="2862"/>
      <c r="AF52" s="3091"/>
      <c r="AG52" s="2862"/>
      <c r="AH52" s="3091"/>
      <c r="AI52" s="2862"/>
      <c r="AJ52" s="3091"/>
      <c r="AK52" s="2862"/>
      <c r="AL52" s="3091"/>
      <c r="AM52" s="2862"/>
      <c r="AN52" s="3091"/>
      <c r="AO52" s="2862"/>
      <c r="AP52" s="3091"/>
      <c r="AQ52" s="2862"/>
      <c r="AR52" s="3091"/>
      <c r="AS52" s="2862"/>
      <c r="AT52" s="3091"/>
      <c r="AU52" s="2862"/>
      <c r="AV52" s="3091"/>
      <c r="AW52" s="2862"/>
      <c r="AX52" s="3091"/>
      <c r="AY52" s="2862"/>
      <c r="AZ52" s="4007"/>
      <c r="BA52" s="4610"/>
      <c r="BB52" s="4610"/>
      <c r="BC52" s="3099"/>
      <c r="BD52" s="3091"/>
      <c r="BE52" s="3091"/>
      <c r="BF52" s="3082"/>
      <c r="BG52" s="2580"/>
      <c r="BH52" s="3082"/>
      <c r="BI52" s="2580"/>
      <c r="BJ52" s="4607"/>
    </row>
    <row r="53" spans="1:68" ht="31.5" customHeight="1" x14ac:dyDescent="0.2">
      <c r="A53" s="916"/>
      <c r="B53" s="925"/>
      <c r="C53" s="519"/>
      <c r="D53" s="519"/>
      <c r="E53" s="519"/>
      <c r="F53" s="926"/>
      <c r="G53" s="920">
        <v>42</v>
      </c>
      <c r="H53" s="50" t="s">
        <v>1794</v>
      </c>
      <c r="I53" s="50"/>
      <c r="J53" s="1376"/>
      <c r="K53" s="412"/>
      <c r="L53" s="2520"/>
      <c r="M53" s="2520"/>
      <c r="N53" s="643"/>
      <c r="O53" s="412"/>
      <c r="P53" s="2520"/>
      <c r="Q53" s="412"/>
      <c r="R53" s="2520"/>
      <c r="S53" s="946"/>
      <c r="T53" s="412"/>
      <c r="U53" s="412"/>
      <c r="V53" s="412"/>
      <c r="W53" s="946"/>
      <c r="X53" s="921"/>
      <c r="Y53" s="921"/>
      <c r="Z53" s="2519"/>
      <c r="AA53" s="412"/>
      <c r="AB53" s="412"/>
      <c r="AC53" s="921"/>
      <c r="AD53" s="412"/>
      <c r="AE53" s="921"/>
      <c r="AF53" s="412"/>
      <c r="AG53" s="921"/>
      <c r="AH53" s="412"/>
      <c r="AI53" s="921"/>
      <c r="AJ53" s="412"/>
      <c r="AK53" s="921"/>
      <c r="AL53" s="412"/>
      <c r="AM53" s="921"/>
      <c r="AN53" s="412"/>
      <c r="AO53" s="921"/>
      <c r="AP53" s="412"/>
      <c r="AQ53" s="921"/>
      <c r="AR53" s="412"/>
      <c r="AS53" s="921"/>
      <c r="AT53" s="412"/>
      <c r="AU53" s="921"/>
      <c r="AV53" s="412"/>
      <c r="AW53" s="921"/>
      <c r="AX53" s="412"/>
      <c r="AY53" s="921"/>
      <c r="AZ53" s="412"/>
      <c r="BA53" s="1553"/>
      <c r="BB53" s="1553"/>
      <c r="BC53" s="943"/>
      <c r="BD53" s="412"/>
      <c r="BE53" s="412"/>
      <c r="BF53" s="50"/>
      <c r="BG53" s="411"/>
      <c r="BH53" s="50"/>
      <c r="BI53" s="411"/>
      <c r="BJ53" s="50"/>
      <c r="BK53" s="1"/>
      <c r="BL53" s="1"/>
      <c r="BM53" s="1"/>
      <c r="BN53" s="1"/>
      <c r="BO53" s="1"/>
      <c r="BP53" s="1"/>
    </row>
    <row r="54" spans="1:68" ht="148.5" customHeight="1" x14ac:dyDescent="0.2">
      <c r="A54" s="967"/>
      <c r="B54" s="2477"/>
      <c r="C54" s="2565"/>
      <c r="D54" s="2565"/>
      <c r="E54" s="2565"/>
      <c r="F54" s="2478"/>
      <c r="G54" s="1555"/>
      <c r="H54" s="968"/>
      <c r="I54" s="969"/>
      <c r="J54" s="2107">
        <v>149</v>
      </c>
      <c r="K54" s="2386" t="s">
        <v>1795</v>
      </c>
      <c r="L54" s="2107" t="s">
        <v>146</v>
      </c>
      <c r="M54" s="2107">
        <v>8</v>
      </c>
      <c r="N54" s="2485">
        <v>8</v>
      </c>
      <c r="O54" s="2129" t="s">
        <v>1796</v>
      </c>
      <c r="P54" s="2137">
        <v>144</v>
      </c>
      <c r="Q54" s="2386" t="s">
        <v>1797</v>
      </c>
      <c r="R54" s="970">
        <v>1</v>
      </c>
      <c r="S54" s="972">
        <v>10000000</v>
      </c>
      <c r="T54" s="2129" t="s">
        <v>1798</v>
      </c>
      <c r="U54" s="2224" t="s">
        <v>1799</v>
      </c>
      <c r="V54" s="2200" t="s">
        <v>1800</v>
      </c>
      <c r="W54" s="971">
        <v>10000000</v>
      </c>
      <c r="X54" s="995">
        <v>10000000</v>
      </c>
      <c r="Y54" s="995">
        <v>10000000</v>
      </c>
      <c r="Z54" s="2384">
        <v>61</v>
      </c>
      <c r="AA54" s="2386" t="s">
        <v>1685</v>
      </c>
      <c r="AB54" s="2201">
        <v>64149</v>
      </c>
      <c r="AC54" s="2170">
        <v>64149</v>
      </c>
      <c r="AD54" s="2201">
        <v>72224</v>
      </c>
      <c r="AE54" s="2170">
        <v>72224</v>
      </c>
      <c r="AF54" s="2201">
        <v>27477</v>
      </c>
      <c r="AG54" s="2170">
        <v>27477</v>
      </c>
      <c r="AH54" s="2201">
        <v>86843</v>
      </c>
      <c r="AI54" s="2170">
        <v>86843</v>
      </c>
      <c r="AJ54" s="2201">
        <v>236429</v>
      </c>
      <c r="AK54" s="2170">
        <v>236429</v>
      </c>
      <c r="AL54" s="2201">
        <v>75612</v>
      </c>
      <c r="AM54" s="2170">
        <v>75612</v>
      </c>
      <c r="AN54" s="2201">
        <v>13208</v>
      </c>
      <c r="AO54" s="2170">
        <v>13208</v>
      </c>
      <c r="AP54" s="2201">
        <v>2145</v>
      </c>
      <c r="AQ54" s="2170">
        <v>2145</v>
      </c>
      <c r="AR54" s="2201">
        <v>413</v>
      </c>
      <c r="AS54" s="2170">
        <v>413</v>
      </c>
      <c r="AT54" s="2201">
        <v>520</v>
      </c>
      <c r="AU54" s="2170">
        <v>520</v>
      </c>
      <c r="AV54" s="2201">
        <v>16897</v>
      </c>
      <c r="AW54" s="2170">
        <v>16897</v>
      </c>
      <c r="AX54" s="2201">
        <v>75612</v>
      </c>
      <c r="AY54" s="2170">
        <v>75612</v>
      </c>
      <c r="AZ54" s="2201">
        <v>1</v>
      </c>
      <c r="BA54" s="2500">
        <v>10000000</v>
      </c>
      <c r="BB54" s="2502">
        <f>+Y54</f>
        <v>10000000</v>
      </c>
      <c r="BC54" s="2205">
        <f>+BB54/BA54</f>
        <v>1</v>
      </c>
      <c r="BD54" s="2201">
        <v>61</v>
      </c>
      <c r="BE54" s="2201" t="s">
        <v>1686</v>
      </c>
      <c r="BF54" s="965">
        <v>42583</v>
      </c>
      <c r="BG54" s="966">
        <v>42583</v>
      </c>
      <c r="BH54" s="965">
        <v>42583</v>
      </c>
      <c r="BI54" s="966">
        <v>42583</v>
      </c>
      <c r="BJ54" s="675" t="s">
        <v>1687</v>
      </c>
      <c r="BK54" s="1"/>
      <c r="BL54" s="1"/>
      <c r="BM54" s="1"/>
      <c r="BN54" s="1"/>
      <c r="BO54" s="1"/>
      <c r="BP54" s="1"/>
    </row>
    <row r="55" spans="1:68" ht="99" customHeight="1" x14ac:dyDescent="0.2">
      <c r="A55" s="924"/>
      <c r="B55" s="931"/>
      <c r="C55" s="689"/>
      <c r="D55" s="689"/>
      <c r="E55" s="689"/>
      <c r="F55" s="932"/>
      <c r="G55" s="931"/>
      <c r="H55" s="689"/>
      <c r="I55" s="932"/>
      <c r="J55" s="2107">
        <v>149</v>
      </c>
      <c r="K55" s="2224" t="s">
        <v>1795</v>
      </c>
      <c r="L55" s="2116" t="s">
        <v>146</v>
      </c>
      <c r="M55" s="2116">
        <v>8</v>
      </c>
      <c r="N55" s="2530">
        <v>8</v>
      </c>
      <c r="O55" s="2605" t="s">
        <v>1801</v>
      </c>
      <c r="P55" s="2600">
        <v>145</v>
      </c>
      <c r="Q55" s="3054" t="s">
        <v>1802</v>
      </c>
      <c r="R55" s="2276">
        <f>W55/S55</f>
        <v>0.6875</v>
      </c>
      <c r="S55" s="4613">
        <v>40000000</v>
      </c>
      <c r="T55" s="2605" t="s">
        <v>1803</v>
      </c>
      <c r="U55" s="2224" t="s">
        <v>1804</v>
      </c>
      <c r="V55" s="2200" t="s">
        <v>1805</v>
      </c>
      <c r="W55" s="2525">
        <v>27500000</v>
      </c>
      <c r="X55" s="957">
        <v>21350000</v>
      </c>
      <c r="Y55" s="957">
        <v>21350000</v>
      </c>
      <c r="Z55" s="3090">
        <v>61</v>
      </c>
      <c r="AA55" s="3054" t="s">
        <v>1685</v>
      </c>
      <c r="AB55" s="3090">
        <v>64149</v>
      </c>
      <c r="AC55" s="2826">
        <f>SUM(AB55*0.82)</f>
        <v>52602.18</v>
      </c>
      <c r="AD55" s="3090">
        <v>72224</v>
      </c>
      <c r="AE55" s="2826">
        <f>SUM(AD55*0.82)</f>
        <v>59223.679999999993</v>
      </c>
      <c r="AF55" s="3090">
        <v>27477</v>
      </c>
      <c r="AG55" s="2826">
        <f>SUM(AF55*0.82)</f>
        <v>22531.14</v>
      </c>
      <c r="AH55" s="3090">
        <v>86843</v>
      </c>
      <c r="AI55" s="2826">
        <f>SUM(AH55*0.82)</f>
        <v>71211.259999999995</v>
      </c>
      <c r="AJ55" s="3090">
        <v>236429</v>
      </c>
      <c r="AK55" s="2826">
        <f>SUM(AJ55*0.82)</f>
        <v>193871.78</v>
      </c>
      <c r="AL55" s="3090">
        <v>75612</v>
      </c>
      <c r="AM55" s="2826">
        <f>SUM(AL55*0.82)</f>
        <v>62001.84</v>
      </c>
      <c r="AN55" s="3090">
        <v>13208</v>
      </c>
      <c r="AO55" s="2826">
        <f>SUM(AN55*0.82)</f>
        <v>10830.56</v>
      </c>
      <c r="AP55" s="3090">
        <v>2145</v>
      </c>
      <c r="AQ55" s="2826">
        <f>SUM(AP55*0.82)</f>
        <v>1758.8999999999999</v>
      </c>
      <c r="AR55" s="3090">
        <v>413</v>
      </c>
      <c r="AS55" s="2826">
        <f>SUM(AR55*0.82)</f>
        <v>338.65999999999997</v>
      </c>
      <c r="AT55" s="3090">
        <v>520</v>
      </c>
      <c r="AU55" s="2826">
        <f>SUM(AT55*0.82)</f>
        <v>426.4</v>
      </c>
      <c r="AV55" s="3090">
        <v>16897</v>
      </c>
      <c r="AW55" s="2826">
        <f>SUM(AV55*0.82)</f>
        <v>13855.539999999999</v>
      </c>
      <c r="AX55" s="3090">
        <v>75612</v>
      </c>
      <c r="AY55" s="2826">
        <f>SUM(AX55*0.82)</f>
        <v>62001.84</v>
      </c>
      <c r="AZ55" s="3090">
        <v>6</v>
      </c>
      <c r="BA55" s="4608">
        <f>SUM(X55:X56)</f>
        <v>32600000</v>
      </c>
      <c r="BB55" s="4611">
        <f>SUM(Y55:Y56)</f>
        <v>32600000</v>
      </c>
      <c r="BC55" s="3098">
        <f>BB55/BA55</f>
        <v>1</v>
      </c>
      <c r="BD55" s="3090">
        <v>61</v>
      </c>
      <c r="BE55" s="3090" t="s">
        <v>1686</v>
      </c>
      <c r="BF55" s="3080">
        <v>42583</v>
      </c>
      <c r="BG55" s="2578">
        <v>42583</v>
      </c>
      <c r="BH55" s="3080">
        <v>42735</v>
      </c>
      <c r="BI55" s="2578">
        <v>42735</v>
      </c>
      <c r="BJ55" s="4631" t="s">
        <v>1687</v>
      </c>
    </row>
    <row r="56" spans="1:68" ht="99.75" customHeight="1" x14ac:dyDescent="0.2">
      <c r="A56" s="924"/>
      <c r="B56" s="931"/>
      <c r="C56" s="689"/>
      <c r="D56" s="689"/>
      <c r="E56" s="689"/>
      <c r="F56" s="932"/>
      <c r="G56" s="936"/>
      <c r="H56" s="937"/>
      <c r="I56" s="938"/>
      <c r="J56" s="2107">
        <v>150</v>
      </c>
      <c r="K56" s="2224" t="s">
        <v>1806</v>
      </c>
      <c r="L56" s="2116" t="s">
        <v>146</v>
      </c>
      <c r="M56" s="2099">
        <v>14</v>
      </c>
      <c r="N56" s="2530">
        <v>13</v>
      </c>
      <c r="O56" s="2988"/>
      <c r="P56" s="2636"/>
      <c r="Q56" s="3056"/>
      <c r="R56" s="2276">
        <f>W56/S55</f>
        <v>0.3125</v>
      </c>
      <c r="S56" s="4614"/>
      <c r="T56" s="2988"/>
      <c r="U56" s="2224" t="s">
        <v>1807</v>
      </c>
      <c r="V56" s="2200" t="s">
        <v>1808</v>
      </c>
      <c r="W56" s="2525">
        <v>12500000</v>
      </c>
      <c r="X56" s="960">
        <v>11250000</v>
      </c>
      <c r="Y56" s="960">
        <v>11250000</v>
      </c>
      <c r="Z56" s="3091"/>
      <c r="AA56" s="3056"/>
      <c r="AB56" s="3091"/>
      <c r="AC56" s="2862"/>
      <c r="AD56" s="3091"/>
      <c r="AE56" s="2862"/>
      <c r="AF56" s="3091"/>
      <c r="AG56" s="2862"/>
      <c r="AH56" s="3091"/>
      <c r="AI56" s="2862"/>
      <c r="AJ56" s="3091"/>
      <c r="AK56" s="2862"/>
      <c r="AL56" s="3091"/>
      <c r="AM56" s="2862"/>
      <c r="AN56" s="3091"/>
      <c r="AO56" s="2862"/>
      <c r="AP56" s="3091"/>
      <c r="AQ56" s="2862"/>
      <c r="AR56" s="3091"/>
      <c r="AS56" s="2862"/>
      <c r="AT56" s="3091"/>
      <c r="AU56" s="2862"/>
      <c r="AV56" s="3091"/>
      <c r="AW56" s="2862"/>
      <c r="AX56" s="3091"/>
      <c r="AY56" s="2862"/>
      <c r="AZ56" s="3091"/>
      <c r="BA56" s="4610"/>
      <c r="BB56" s="4612"/>
      <c r="BC56" s="3099"/>
      <c r="BD56" s="3091"/>
      <c r="BE56" s="3091"/>
      <c r="BF56" s="3082"/>
      <c r="BG56" s="2580"/>
      <c r="BH56" s="3082"/>
      <c r="BI56" s="2580"/>
      <c r="BJ56" s="4631"/>
    </row>
    <row r="57" spans="1:68" ht="33.75" customHeight="1" x14ac:dyDescent="0.2">
      <c r="A57" s="916"/>
      <c r="B57" s="925"/>
      <c r="C57" s="519"/>
      <c r="D57" s="519"/>
      <c r="E57" s="519"/>
      <c r="F57" s="926"/>
      <c r="G57" s="920">
        <v>43</v>
      </c>
      <c r="H57" s="50" t="s">
        <v>1809</v>
      </c>
      <c r="I57" s="50"/>
      <c r="J57" s="1376"/>
      <c r="K57" s="412"/>
      <c r="L57" s="2520"/>
      <c r="M57" s="2520"/>
      <c r="N57" s="643"/>
      <c r="O57" s="412"/>
      <c r="P57" s="2520"/>
      <c r="Q57" s="412"/>
      <c r="R57" s="2520"/>
      <c r="S57" s="412"/>
      <c r="T57" s="412"/>
      <c r="U57" s="412"/>
      <c r="V57" s="412"/>
      <c r="W57" s="946"/>
      <c r="X57" s="947"/>
      <c r="Y57" s="947"/>
      <c r="Z57" s="2519"/>
      <c r="AA57" s="412"/>
      <c r="AB57" s="412"/>
      <c r="AC57" s="921"/>
      <c r="AD57" s="412"/>
      <c r="AE57" s="921"/>
      <c r="AF57" s="412"/>
      <c r="AG57" s="921"/>
      <c r="AH57" s="412"/>
      <c r="AI57" s="4605"/>
      <c r="AJ57" s="4606"/>
      <c r="AK57" s="921"/>
      <c r="AL57" s="996"/>
      <c r="AM57" s="994"/>
      <c r="AN57" s="4606"/>
      <c r="AO57" s="4606"/>
      <c r="AP57" s="412"/>
      <c r="AQ57" s="921"/>
      <c r="AR57" s="412"/>
      <c r="AS57" s="921"/>
      <c r="AT57" s="412"/>
      <c r="AU57" s="921"/>
      <c r="AV57" s="412"/>
      <c r="AW57" s="921"/>
      <c r="AX57" s="412"/>
      <c r="AY57" s="921"/>
      <c r="AZ57" s="412"/>
      <c r="BA57" s="1553"/>
      <c r="BB57" s="1553"/>
      <c r="BC57" s="943"/>
      <c r="BD57" s="412"/>
      <c r="BE57" s="412"/>
      <c r="BF57" s="50"/>
      <c r="BG57" s="411"/>
      <c r="BH57" s="50"/>
      <c r="BI57" s="411"/>
      <c r="BJ57" s="50"/>
      <c r="BK57" s="1"/>
      <c r="BL57" s="1"/>
      <c r="BM57" s="1"/>
      <c r="BN57" s="1"/>
      <c r="BO57" s="1"/>
      <c r="BP57" s="1"/>
    </row>
    <row r="58" spans="1:68" ht="123" customHeight="1" x14ac:dyDescent="0.2">
      <c r="A58" s="455"/>
      <c r="B58" s="948"/>
      <c r="C58" s="454"/>
      <c r="D58" s="454"/>
      <c r="E58" s="454"/>
      <c r="F58" s="949"/>
      <c r="G58" s="1064"/>
      <c r="H58" s="950"/>
      <c r="I58" s="951"/>
      <c r="J58" s="2107">
        <v>151</v>
      </c>
      <c r="K58" s="2386" t="s">
        <v>1810</v>
      </c>
      <c r="L58" s="2107" t="s">
        <v>146</v>
      </c>
      <c r="M58" s="2137">
        <v>12</v>
      </c>
      <c r="N58" s="2530">
        <v>12</v>
      </c>
      <c r="O58" s="2605" t="s">
        <v>1811</v>
      </c>
      <c r="P58" s="2600">
        <v>146</v>
      </c>
      <c r="Q58" s="3054" t="s">
        <v>1812</v>
      </c>
      <c r="R58" s="2205">
        <f>W58/S58</f>
        <v>0.66146021629008234</v>
      </c>
      <c r="S58" s="4613">
        <v>226771008</v>
      </c>
      <c r="T58" s="2604" t="s">
        <v>1813</v>
      </c>
      <c r="U58" s="2224" t="s">
        <v>1814</v>
      </c>
      <c r="V58" s="2200" t="s">
        <v>1815</v>
      </c>
      <c r="W58" s="2509">
        <v>150000000</v>
      </c>
      <c r="X58" s="960">
        <v>0</v>
      </c>
      <c r="Y58" s="960">
        <v>0</v>
      </c>
      <c r="Z58" s="3898" t="s">
        <v>1816</v>
      </c>
      <c r="AA58" s="2200" t="s">
        <v>1657</v>
      </c>
      <c r="AB58" s="3090">
        <v>64149</v>
      </c>
      <c r="AC58" s="2826">
        <f>SUM(AB58*0.21)</f>
        <v>13471.289999999999</v>
      </c>
      <c r="AD58" s="3090">
        <v>72224</v>
      </c>
      <c r="AE58" s="2826">
        <f>SUM(AD58*0.21)</f>
        <v>15167.039999999999</v>
      </c>
      <c r="AF58" s="3090">
        <v>27477</v>
      </c>
      <c r="AG58" s="2826">
        <f>SUM(AF58*0.21)</f>
        <v>5770.17</v>
      </c>
      <c r="AH58" s="3090">
        <v>86843</v>
      </c>
      <c r="AI58" s="2826">
        <f>SUM(AH58*0.21)</f>
        <v>18237.03</v>
      </c>
      <c r="AJ58" s="3090">
        <v>236429</v>
      </c>
      <c r="AK58" s="2826">
        <f>SUM(AJ58*0.21)</f>
        <v>49650.09</v>
      </c>
      <c r="AL58" s="3090">
        <v>75612</v>
      </c>
      <c r="AM58" s="2826">
        <f>SUM(AL58*0.21)</f>
        <v>15878.519999999999</v>
      </c>
      <c r="AN58" s="3090">
        <v>13208</v>
      </c>
      <c r="AO58" s="2826">
        <f>SUM(AN58*0.21)</f>
        <v>2773.68</v>
      </c>
      <c r="AP58" s="3090">
        <v>2145</v>
      </c>
      <c r="AQ58" s="2826">
        <f>SUM(AP58*0.21)</f>
        <v>450.45</v>
      </c>
      <c r="AR58" s="3090">
        <v>413</v>
      </c>
      <c r="AS58" s="2826">
        <f>SUM(AR58*0.21)</f>
        <v>86.72999999999999</v>
      </c>
      <c r="AT58" s="3090">
        <v>520</v>
      </c>
      <c r="AU58" s="2826">
        <f>SUM(AT58*0.21)</f>
        <v>109.2</v>
      </c>
      <c r="AV58" s="3090">
        <v>16897</v>
      </c>
      <c r="AW58" s="2826">
        <f>SUM(AV58*0.21)</f>
        <v>3548.37</v>
      </c>
      <c r="AX58" s="3090">
        <v>75612</v>
      </c>
      <c r="AY58" s="2826">
        <f>SUM(AX58*0.21)</f>
        <v>15878.519999999999</v>
      </c>
      <c r="AZ58" s="3090">
        <v>8</v>
      </c>
      <c r="BA58" s="4608">
        <f>SUM(X58:X60)</f>
        <v>48073666</v>
      </c>
      <c r="BB58" s="4611">
        <f>SUM(Y58:Y60)</f>
        <v>48073666</v>
      </c>
      <c r="BC58" s="3098">
        <f>BB58/BA58</f>
        <v>1</v>
      </c>
      <c r="BD58" s="3090" t="s">
        <v>1816</v>
      </c>
      <c r="BE58" s="3090" t="s">
        <v>1686</v>
      </c>
      <c r="BF58" s="3080">
        <v>42583</v>
      </c>
      <c r="BG58" s="2578">
        <v>42583</v>
      </c>
      <c r="BH58" s="3080">
        <v>42735</v>
      </c>
      <c r="BI58" s="2578">
        <v>42735</v>
      </c>
      <c r="BJ58" s="4607" t="s">
        <v>1687</v>
      </c>
    </row>
    <row r="59" spans="1:68" ht="81" customHeight="1" x14ac:dyDescent="0.2">
      <c r="A59" s="455"/>
      <c r="B59" s="948"/>
      <c r="C59" s="454"/>
      <c r="D59" s="454"/>
      <c r="E59" s="454"/>
      <c r="F59" s="949"/>
      <c r="G59" s="948"/>
      <c r="H59" s="454"/>
      <c r="I59" s="949"/>
      <c r="J59" s="2707">
        <v>152</v>
      </c>
      <c r="K59" s="3980" t="s">
        <v>1817</v>
      </c>
      <c r="L59" s="2708" t="s">
        <v>146</v>
      </c>
      <c r="M59" s="2708">
        <v>1</v>
      </c>
      <c r="N59" s="2821">
        <v>1</v>
      </c>
      <c r="O59" s="2987"/>
      <c r="P59" s="2601"/>
      <c r="Q59" s="3055"/>
      <c r="R59" s="3186">
        <v>0.34</v>
      </c>
      <c r="S59" s="4615"/>
      <c r="T59" s="2604"/>
      <c r="U59" s="2386" t="s">
        <v>1818</v>
      </c>
      <c r="V59" s="2200" t="s">
        <v>1819</v>
      </c>
      <c r="W59" s="2509">
        <v>67271008</v>
      </c>
      <c r="X59" s="957">
        <f>26357000+15466666</f>
        <v>41823666</v>
      </c>
      <c r="Y59" s="957">
        <f>26357000+15466666</f>
        <v>41823666</v>
      </c>
      <c r="Z59" s="3934"/>
      <c r="AA59" s="2605" t="s">
        <v>1702</v>
      </c>
      <c r="AB59" s="4007"/>
      <c r="AC59" s="2827"/>
      <c r="AD59" s="4007"/>
      <c r="AE59" s="2827"/>
      <c r="AF59" s="4007"/>
      <c r="AG59" s="2827"/>
      <c r="AH59" s="4007"/>
      <c r="AI59" s="2827"/>
      <c r="AJ59" s="4007"/>
      <c r="AK59" s="2827"/>
      <c r="AL59" s="4007"/>
      <c r="AM59" s="2827"/>
      <c r="AN59" s="4007"/>
      <c r="AO59" s="2827"/>
      <c r="AP59" s="4007"/>
      <c r="AQ59" s="2827"/>
      <c r="AR59" s="4007"/>
      <c r="AS59" s="2827"/>
      <c r="AT59" s="4007"/>
      <c r="AU59" s="2827"/>
      <c r="AV59" s="4007"/>
      <c r="AW59" s="2827"/>
      <c r="AX59" s="4007"/>
      <c r="AY59" s="2827"/>
      <c r="AZ59" s="4007"/>
      <c r="BA59" s="4609"/>
      <c r="BB59" s="4619"/>
      <c r="BC59" s="3234"/>
      <c r="BD59" s="4007"/>
      <c r="BE59" s="4007"/>
      <c r="BF59" s="3081"/>
      <c r="BG59" s="2579"/>
      <c r="BH59" s="3081"/>
      <c r="BI59" s="2579"/>
      <c r="BJ59" s="4607"/>
    </row>
    <row r="60" spans="1:68" ht="81" customHeight="1" x14ac:dyDescent="0.2">
      <c r="A60" s="455"/>
      <c r="B60" s="948"/>
      <c r="C60" s="454"/>
      <c r="D60" s="454"/>
      <c r="E60" s="454"/>
      <c r="F60" s="949"/>
      <c r="G60" s="948"/>
      <c r="H60" s="454"/>
      <c r="I60" s="949"/>
      <c r="J60" s="2709"/>
      <c r="K60" s="3980"/>
      <c r="L60" s="2709"/>
      <c r="M60" s="2709"/>
      <c r="N60" s="2823"/>
      <c r="O60" s="2988"/>
      <c r="P60" s="2636"/>
      <c r="Q60" s="3056"/>
      <c r="R60" s="3186"/>
      <c r="S60" s="4614"/>
      <c r="T60" s="2604"/>
      <c r="U60" s="2386" t="s">
        <v>1820</v>
      </c>
      <c r="V60" s="2200" t="s">
        <v>1821</v>
      </c>
      <c r="W60" s="2509">
        <v>9500000</v>
      </c>
      <c r="X60" s="960">
        <v>6250000</v>
      </c>
      <c r="Y60" s="960">
        <v>6250000</v>
      </c>
      <c r="Z60" s="4632"/>
      <c r="AA60" s="2988"/>
      <c r="AB60" s="3091"/>
      <c r="AC60" s="2862"/>
      <c r="AD60" s="3091"/>
      <c r="AE60" s="2862"/>
      <c r="AF60" s="3091"/>
      <c r="AG60" s="2862"/>
      <c r="AH60" s="3091"/>
      <c r="AI60" s="2862"/>
      <c r="AJ60" s="3091"/>
      <c r="AK60" s="2862"/>
      <c r="AL60" s="3091"/>
      <c r="AM60" s="2862"/>
      <c r="AN60" s="3091"/>
      <c r="AO60" s="2862"/>
      <c r="AP60" s="3091"/>
      <c r="AQ60" s="2862"/>
      <c r="AR60" s="3091"/>
      <c r="AS60" s="2862"/>
      <c r="AT60" s="3091"/>
      <c r="AU60" s="2862"/>
      <c r="AV60" s="3091"/>
      <c r="AW60" s="2862"/>
      <c r="AX60" s="3091"/>
      <c r="AY60" s="2862"/>
      <c r="AZ60" s="3091"/>
      <c r="BA60" s="4610"/>
      <c r="BB60" s="4612"/>
      <c r="BC60" s="3099"/>
      <c r="BD60" s="3091"/>
      <c r="BE60" s="3091"/>
      <c r="BF60" s="3082"/>
      <c r="BG60" s="2580"/>
      <c r="BH60" s="3082"/>
      <c r="BI60" s="2580"/>
      <c r="BJ60" s="4607"/>
    </row>
    <row r="61" spans="1:68" ht="57" customHeight="1" x14ac:dyDescent="0.2">
      <c r="A61" s="924"/>
      <c r="B61" s="931"/>
      <c r="C61" s="689"/>
      <c r="D61" s="689"/>
      <c r="E61" s="689"/>
      <c r="F61" s="932"/>
      <c r="G61" s="931"/>
      <c r="H61" s="689"/>
      <c r="I61" s="932"/>
      <c r="J61" s="2707">
        <v>153</v>
      </c>
      <c r="K61" s="3054" t="s">
        <v>1822</v>
      </c>
      <c r="L61" s="2707" t="s">
        <v>146</v>
      </c>
      <c r="M61" s="2707">
        <v>150</v>
      </c>
      <c r="N61" s="2672">
        <v>173</v>
      </c>
      <c r="O61" s="2605" t="s">
        <v>1823</v>
      </c>
      <c r="P61" s="2600">
        <v>147</v>
      </c>
      <c r="Q61" s="3054" t="s">
        <v>1824</v>
      </c>
      <c r="R61" s="3098">
        <v>100</v>
      </c>
      <c r="S61" s="4613">
        <v>1237889758</v>
      </c>
      <c r="T61" s="2605" t="s">
        <v>1825</v>
      </c>
      <c r="U61" s="3054" t="s">
        <v>1826</v>
      </c>
      <c r="V61" s="2200" t="s">
        <v>1827</v>
      </c>
      <c r="W61" s="2509">
        <v>1058839758</v>
      </c>
      <c r="X61" s="957">
        <v>560000000</v>
      </c>
      <c r="Y61" s="957">
        <v>559962368</v>
      </c>
      <c r="Z61" s="3090" t="s">
        <v>1828</v>
      </c>
      <c r="AA61" s="3054" t="s">
        <v>1702</v>
      </c>
      <c r="AB61" s="3090">
        <v>64149</v>
      </c>
      <c r="AC61" s="2826">
        <f>SUM(AB61*0.49)</f>
        <v>31433.01</v>
      </c>
      <c r="AD61" s="3090">
        <v>72224</v>
      </c>
      <c r="AE61" s="2826">
        <f>SUM(AD61*0.49)</f>
        <v>35389.760000000002</v>
      </c>
      <c r="AF61" s="3090">
        <v>27477</v>
      </c>
      <c r="AG61" s="2826">
        <f>SUM(AF61*0.49)</f>
        <v>13463.73</v>
      </c>
      <c r="AH61" s="3090">
        <v>86843</v>
      </c>
      <c r="AI61" s="2826">
        <f>SUM(AH61*0.49)</f>
        <v>42553.07</v>
      </c>
      <c r="AJ61" s="3090">
        <v>236429</v>
      </c>
      <c r="AK61" s="2826">
        <f>SUM(AJ61*0.49)</f>
        <v>115850.20999999999</v>
      </c>
      <c r="AL61" s="3090">
        <v>75612</v>
      </c>
      <c r="AM61" s="2826">
        <f>SUM(AL61*0.49)</f>
        <v>37049.879999999997</v>
      </c>
      <c r="AN61" s="3090">
        <v>13208</v>
      </c>
      <c r="AO61" s="2826">
        <f>SUM(AN61*0.49)</f>
        <v>6471.92</v>
      </c>
      <c r="AP61" s="3090">
        <v>2145</v>
      </c>
      <c r="AQ61" s="2826">
        <f>SUM(AP61*0.49)</f>
        <v>1051.05</v>
      </c>
      <c r="AR61" s="3090">
        <v>413</v>
      </c>
      <c r="AS61" s="2826">
        <f>SUM(AR61*0.49)</f>
        <v>202.37</v>
      </c>
      <c r="AT61" s="3090">
        <v>520</v>
      </c>
      <c r="AU61" s="2826">
        <f>SUM(AT61*0.49)</f>
        <v>254.79999999999998</v>
      </c>
      <c r="AV61" s="3090">
        <v>16897</v>
      </c>
      <c r="AW61" s="2826">
        <f>SUM(AV61*0.49)</f>
        <v>8279.5300000000007</v>
      </c>
      <c r="AX61" s="3090">
        <v>75612</v>
      </c>
      <c r="AY61" s="2826">
        <f>SUM(AX61*0.49)</f>
        <v>37049.879999999997</v>
      </c>
      <c r="AZ61" s="3090">
        <v>11</v>
      </c>
      <c r="BA61" s="4608">
        <f>SUM(X61:X66)</f>
        <v>622609160</v>
      </c>
      <c r="BB61" s="4608">
        <f>SUM(Y61:Y66)</f>
        <v>608938568</v>
      </c>
      <c r="BC61" s="3098">
        <f>BB61/BA61</f>
        <v>0.97804305995112573</v>
      </c>
      <c r="BD61" s="3090" t="s">
        <v>1828</v>
      </c>
      <c r="BE61" s="3090" t="s">
        <v>1686</v>
      </c>
      <c r="BF61" s="3080">
        <v>42583</v>
      </c>
      <c r="BG61" s="2578">
        <v>42583</v>
      </c>
      <c r="BH61" s="3080">
        <v>42735</v>
      </c>
      <c r="BI61" s="2578">
        <v>42735</v>
      </c>
      <c r="BJ61" s="4607" t="s">
        <v>1829</v>
      </c>
    </row>
    <row r="62" spans="1:68" ht="72" customHeight="1" x14ac:dyDescent="0.2">
      <c r="A62" s="924"/>
      <c r="B62" s="931"/>
      <c r="C62" s="689"/>
      <c r="D62" s="689"/>
      <c r="E62" s="689"/>
      <c r="F62" s="932"/>
      <c r="G62" s="931"/>
      <c r="H62" s="689"/>
      <c r="I62" s="932"/>
      <c r="J62" s="2708"/>
      <c r="K62" s="3055"/>
      <c r="L62" s="2708"/>
      <c r="M62" s="2708"/>
      <c r="N62" s="2673"/>
      <c r="O62" s="2987"/>
      <c r="P62" s="2601"/>
      <c r="Q62" s="3055"/>
      <c r="R62" s="3234"/>
      <c r="S62" s="4615"/>
      <c r="T62" s="2987"/>
      <c r="U62" s="3055"/>
      <c r="V62" s="2200" t="s">
        <v>1830</v>
      </c>
      <c r="W62" s="2509">
        <v>5000000</v>
      </c>
      <c r="X62" s="957">
        <v>5000000</v>
      </c>
      <c r="Y62" s="957">
        <v>5000000</v>
      </c>
      <c r="Z62" s="4007"/>
      <c r="AA62" s="3055"/>
      <c r="AB62" s="4007"/>
      <c r="AC62" s="2827"/>
      <c r="AD62" s="4007"/>
      <c r="AE62" s="2827"/>
      <c r="AF62" s="4007"/>
      <c r="AG62" s="2827"/>
      <c r="AH62" s="4007"/>
      <c r="AI62" s="2827"/>
      <c r="AJ62" s="4007"/>
      <c r="AK62" s="2827"/>
      <c r="AL62" s="4007"/>
      <c r="AM62" s="2827"/>
      <c r="AN62" s="4007"/>
      <c r="AO62" s="2827"/>
      <c r="AP62" s="4007"/>
      <c r="AQ62" s="2827"/>
      <c r="AR62" s="4007"/>
      <c r="AS62" s="2827"/>
      <c r="AT62" s="4007"/>
      <c r="AU62" s="2827"/>
      <c r="AV62" s="4007"/>
      <c r="AW62" s="2827"/>
      <c r="AX62" s="4007"/>
      <c r="AY62" s="2827"/>
      <c r="AZ62" s="4007"/>
      <c r="BA62" s="4609"/>
      <c r="BB62" s="4609"/>
      <c r="BC62" s="3234"/>
      <c r="BD62" s="4007"/>
      <c r="BE62" s="4007"/>
      <c r="BF62" s="3081"/>
      <c r="BG62" s="2579"/>
      <c r="BH62" s="3081"/>
      <c r="BI62" s="2579"/>
      <c r="BJ62" s="4607"/>
    </row>
    <row r="63" spans="1:68" ht="53.25" customHeight="1" x14ac:dyDescent="0.2">
      <c r="A63" s="924"/>
      <c r="B63" s="931"/>
      <c r="C63" s="689"/>
      <c r="D63" s="689"/>
      <c r="E63" s="689"/>
      <c r="F63" s="932"/>
      <c r="G63" s="931"/>
      <c r="H63" s="689"/>
      <c r="I63" s="932"/>
      <c r="J63" s="2708"/>
      <c r="K63" s="3055"/>
      <c r="L63" s="2708"/>
      <c r="M63" s="2708"/>
      <c r="N63" s="2673"/>
      <c r="O63" s="2987"/>
      <c r="P63" s="2601"/>
      <c r="Q63" s="3055"/>
      <c r="R63" s="3234"/>
      <c r="S63" s="4615"/>
      <c r="T63" s="2987"/>
      <c r="U63" s="3055"/>
      <c r="V63" s="2200" t="s">
        <v>1831</v>
      </c>
      <c r="W63" s="2509">
        <v>100000000</v>
      </c>
      <c r="X63" s="957">
        <v>25359160</v>
      </c>
      <c r="Y63" s="957">
        <v>11726200</v>
      </c>
      <c r="Z63" s="4007"/>
      <c r="AA63" s="3055"/>
      <c r="AB63" s="4007"/>
      <c r="AC63" s="2827"/>
      <c r="AD63" s="4007"/>
      <c r="AE63" s="2827"/>
      <c r="AF63" s="4007"/>
      <c r="AG63" s="2827"/>
      <c r="AH63" s="4007"/>
      <c r="AI63" s="2827"/>
      <c r="AJ63" s="4007"/>
      <c r="AK63" s="2827"/>
      <c r="AL63" s="4007"/>
      <c r="AM63" s="2827"/>
      <c r="AN63" s="4007"/>
      <c r="AO63" s="2827"/>
      <c r="AP63" s="4007"/>
      <c r="AQ63" s="2827"/>
      <c r="AR63" s="4007"/>
      <c r="AS63" s="2827"/>
      <c r="AT63" s="4007"/>
      <c r="AU63" s="2827"/>
      <c r="AV63" s="4007"/>
      <c r="AW63" s="2827"/>
      <c r="AX63" s="4007"/>
      <c r="AY63" s="2827"/>
      <c r="AZ63" s="4007"/>
      <c r="BA63" s="4609"/>
      <c r="BB63" s="4609"/>
      <c r="BC63" s="3234"/>
      <c r="BD63" s="4007"/>
      <c r="BE63" s="4007"/>
      <c r="BF63" s="3081"/>
      <c r="BG63" s="2579"/>
      <c r="BH63" s="3081"/>
      <c r="BI63" s="2579"/>
      <c r="BJ63" s="4607"/>
    </row>
    <row r="64" spans="1:68" ht="113.25" customHeight="1" x14ac:dyDescent="0.2">
      <c r="A64" s="924"/>
      <c r="B64" s="931"/>
      <c r="C64" s="689"/>
      <c r="D64" s="689"/>
      <c r="E64" s="689"/>
      <c r="F64" s="932"/>
      <c r="G64" s="931"/>
      <c r="H64" s="689"/>
      <c r="I64" s="932"/>
      <c r="J64" s="2708"/>
      <c r="K64" s="3055"/>
      <c r="L64" s="2708"/>
      <c r="M64" s="2708"/>
      <c r="N64" s="2673"/>
      <c r="O64" s="2987"/>
      <c r="P64" s="2601"/>
      <c r="Q64" s="3055"/>
      <c r="R64" s="3234"/>
      <c r="S64" s="4615"/>
      <c r="T64" s="2987"/>
      <c r="U64" s="3055"/>
      <c r="V64" s="2200" t="s">
        <v>1832</v>
      </c>
      <c r="W64" s="2509">
        <v>24400000</v>
      </c>
      <c r="X64" s="957">
        <v>17050000</v>
      </c>
      <c r="Y64" s="957">
        <v>17050000</v>
      </c>
      <c r="Z64" s="4007"/>
      <c r="AA64" s="3055"/>
      <c r="AB64" s="4007"/>
      <c r="AC64" s="2827"/>
      <c r="AD64" s="4007"/>
      <c r="AE64" s="2827"/>
      <c r="AF64" s="4007"/>
      <c r="AG64" s="2827"/>
      <c r="AH64" s="4007"/>
      <c r="AI64" s="2827"/>
      <c r="AJ64" s="4007"/>
      <c r="AK64" s="2827"/>
      <c r="AL64" s="4007"/>
      <c r="AM64" s="2827"/>
      <c r="AN64" s="4007"/>
      <c r="AO64" s="2827"/>
      <c r="AP64" s="4007"/>
      <c r="AQ64" s="2827"/>
      <c r="AR64" s="4007"/>
      <c r="AS64" s="2827"/>
      <c r="AT64" s="4007"/>
      <c r="AU64" s="2827"/>
      <c r="AV64" s="4007"/>
      <c r="AW64" s="2827"/>
      <c r="AX64" s="4007"/>
      <c r="AY64" s="2827"/>
      <c r="AZ64" s="4007"/>
      <c r="BA64" s="4609"/>
      <c r="BB64" s="4609"/>
      <c r="BC64" s="3234"/>
      <c r="BD64" s="4007"/>
      <c r="BE64" s="4007"/>
      <c r="BF64" s="3081"/>
      <c r="BG64" s="2579"/>
      <c r="BH64" s="3081"/>
      <c r="BI64" s="2579"/>
      <c r="BJ64" s="4607"/>
    </row>
    <row r="65" spans="1:68" ht="162" customHeight="1" x14ac:dyDescent="0.2">
      <c r="A65" s="924"/>
      <c r="B65" s="931"/>
      <c r="C65" s="689"/>
      <c r="D65" s="689"/>
      <c r="E65" s="689"/>
      <c r="F65" s="932"/>
      <c r="G65" s="931"/>
      <c r="H65" s="689"/>
      <c r="I65" s="932"/>
      <c r="J65" s="2708"/>
      <c r="K65" s="3055"/>
      <c r="L65" s="2708"/>
      <c r="M65" s="2708"/>
      <c r="N65" s="2673"/>
      <c r="O65" s="2987"/>
      <c r="P65" s="2601"/>
      <c r="Q65" s="3055"/>
      <c r="R65" s="3234"/>
      <c r="S65" s="4615"/>
      <c r="T65" s="2987"/>
      <c r="U65" s="3055"/>
      <c r="V65" s="2200" t="s">
        <v>1833</v>
      </c>
      <c r="W65" s="2509">
        <v>29650000</v>
      </c>
      <c r="X65" s="957">
        <v>15200000</v>
      </c>
      <c r="Y65" s="957">
        <v>15200000</v>
      </c>
      <c r="Z65" s="4007"/>
      <c r="AA65" s="3055"/>
      <c r="AB65" s="4007"/>
      <c r="AC65" s="2827"/>
      <c r="AD65" s="4007"/>
      <c r="AE65" s="2827"/>
      <c r="AF65" s="4007"/>
      <c r="AG65" s="2827"/>
      <c r="AH65" s="4007"/>
      <c r="AI65" s="2827"/>
      <c r="AJ65" s="4007"/>
      <c r="AK65" s="2827"/>
      <c r="AL65" s="4007"/>
      <c r="AM65" s="2827"/>
      <c r="AN65" s="4007"/>
      <c r="AO65" s="2827"/>
      <c r="AP65" s="4007"/>
      <c r="AQ65" s="2827"/>
      <c r="AR65" s="4007"/>
      <c r="AS65" s="2827"/>
      <c r="AT65" s="4007"/>
      <c r="AU65" s="2827"/>
      <c r="AV65" s="4007"/>
      <c r="AW65" s="2827"/>
      <c r="AX65" s="4007"/>
      <c r="AY65" s="2827"/>
      <c r="AZ65" s="4007"/>
      <c r="BA65" s="4609"/>
      <c r="BB65" s="4609"/>
      <c r="BC65" s="3234"/>
      <c r="BD65" s="4007"/>
      <c r="BE65" s="4007"/>
      <c r="BF65" s="3081"/>
      <c r="BG65" s="2579"/>
      <c r="BH65" s="3081"/>
      <c r="BI65" s="2579"/>
      <c r="BJ65" s="4607"/>
    </row>
    <row r="66" spans="1:68" ht="144.75" customHeight="1" x14ac:dyDescent="0.2">
      <c r="A66" s="924"/>
      <c r="B66" s="931"/>
      <c r="C66" s="689"/>
      <c r="D66" s="689"/>
      <c r="E66" s="689"/>
      <c r="F66" s="932"/>
      <c r="G66" s="936"/>
      <c r="H66" s="937"/>
      <c r="I66" s="938"/>
      <c r="J66" s="2709"/>
      <c r="K66" s="3056"/>
      <c r="L66" s="2709"/>
      <c r="M66" s="2709"/>
      <c r="N66" s="2674"/>
      <c r="O66" s="2988"/>
      <c r="P66" s="2636"/>
      <c r="Q66" s="3056"/>
      <c r="R66" s="3099"/>
      <c r="S66" s="4614"/>
      <c r="T66" s="2988"/>
      <c r="U66" s="3056"/>
      <c r="V66" s="2386" t="s">
        <v>1834</v>
      </c>
      <c r="W66" s="956">
        <v>20000000</v>
      </c>
      <c r="X66" s="957">
        <v>0</v>
      </c>
      <c r="Y66" s="957">
        <v>0</v>
      </c>
      <c r="Z66" s="3091"/>
      <c r="AA66" s="3056"/>
      <c r="AB66" s="3091"/>
      <c r="AC66" s="2862"/>
      <c r="AD66" s="3091"/>
      <c r="AE66" s="2862"/>
      <c r="AF66" s="3091"/>
      <c r="AG66" s="2862"/>
      <c r="AH66" s="3091"/>
      <c r="AI66" s="2862"/>
      <c r="AJ66" s="3091"/>
      <c r="AK66" s="2862"/>
      <c r="AL66" s="3091"/>
      <c r="AM66" s="2862"/>
      <c r="AN66" s="3091"/>
      <c r="AO66" s="2862"/>
      <c r="AP66" s="3091"/>
      <c r="AQ66" s="2862"/>
      <c r="AR66" s="3091"/>
      <c r="AS66" s="2862"/>
      <c r="AT66" s="3091"/>
      <c r="AU66" s="2862"/>
      <c r="AV66" s="3091"/>
      <c r="AW66" s="2862"/>
      <c r="AX66" s="3091"/>
      <c r="AY66" s="2862"/>
      <c r="AZ66" s="3091"/>
      <c r="BA66" s="4610"/>
      <c r="BB66" s="4610"/>
      <c r="BC66" s="3099"/>
      <c r="BD66" s="3091"/>
      <c r="BE66" s="3091"/>
      <c r="BF66" s="3082"/>
      <c r="BG66" s="2580"/>
      <c r="BH66" s="3082"/>
      <c r="BI66" s="2580"/>
      <c r="BJ66" s="4607"/>
    </row>
    <row r="67" spans="1:68" ht="33.75" customHeight="1" x14ac:dyDescent="0.2">
      <c r="A67" s="916"/>
      <c r="B67" s="925"/>
      <c r="C67" s="519"/>
      <c r="D67" s="519"/>
      <c r="E67" s="519"/>
      <c r="F67" s="926"/>
      <c r="G67" s="920">
        <v>44</v>
      </c>
      <c r="H67" s="50" t="s">
        <v>1835</v>
      </c>
      <c r="I67" s="50"/>
      <c r="J67" s="1376"/>
      <c r="K67" s="412"/>
      <c r="L67" s="2520"/>
      <c r="M67" s="2520"/>
      <c r="N67" s="643"/>
      <c r="O67" s="412"/>
      <c r="P67" s="2520"/>
      <c r="Q67" s="412"/>
      <c r="R67" s="2520"/>
      <c r="S67" s="946"/>
      <c r="T67" s="412"/>
      <c r="U67" s="412"/>
      <c r="V67" s="946"/>
      <c r="W67" s="946"/>
      <c r="X67" s="947"/>
      <c r="Y67" s="947"/>
      <c r="Z67" s="2519"/>
      <c r="AA67" s="412"/>
      <c r="AB67" s="412"/>
      <c r="AC67" s="921"/>
      <c r="AD67" s="412"/>
      <c r="AE67" s="921"/>
      <c r="AF67" s="412"/>
      <c r="AG67" s="921"/>
      <c r="AH67" s="412"/>
      <c r="AI67" s="921"/>
      <c r="AJ67" s="4605"/>
      <c r="AK67" s="4605"/>
      <c r="AL67" s="4606"/>
      <c r="AM67" s="4606"/>
      <c r="AN67" s="412"/>
      <c r="AO67" s="4605"/>
      <c r="AP67" s="4605"/>
      <c r="AQ67" s="921"/>
      <c r="AR67" s="412"/>
      <c r="AS67" s="921"/>
      <c r="AT67" s="412"/>
      <c r="AU67" s="921"/>
      <c r="AV67" s="412"/>
      <c r="AW67" s="921"/>
      <c r="AX67" s="412"/>
      <c r="AY67" s="921"/>
      <c r="AZ67" s="412"/>
      <c r="BA67" s="1553"/>
      <c r="BB67" s="1553"/>
      <c r="BC67" s="943"/>
      <c r="BD67" s="412"/>
      <c r="BE67" s="412"/>
      <c r="BF67" s="50"/>
      <c r="BG67" s="411"/>
      <c r="BH67" s="50"/>
      <c r="BI67" s="411"/>
      <c r="BJ67" s="50"/>
      <c r="BK67" s="1"/>
      <c r="BL67" s="1"/>
      <c r="BM67" s="1"/>
      <c r="BN67" s="1"/>
      <c r="BO67" s="1"/>
      <c r="BP67" s="1"/>
    </row>
    <row r="68" spans="1:68" ht="228" customHeight="1" x14ac:dyDescent="0.2">
      <c r="A68" s="924"/>
      <c r="B68" s="931"/>
      <c r="C68" s="689"/>
      <c r="D68" s="689"/>
      <c r="E68" s="689"/>
      <c r="F68" s="932"/>
      <c r="G68" s="927"/>
      <c r="H68" s="928"/>
      <c r="I68" s="929"/>
      <c r="J68" s="2105">
        <v>154</v>
      </c>
      <c r="K68" s="2386" t="s">
        <v>1836</v>
      </c>
      <c r="L68" s="2116" t="s">
        <v>146</v>
      </c>
      <c r="M68" s="2107">
        <v>5</v>
      </c>
      <c r="N68" s="2486">
        <v>5</v>
      </c>
      <c r="O68" s="2605" t="s">
        <v>1837</v>
      </c>
      <c r="P68" s="2600">
        <v>148</v>
      </c>
      <c r="Q68" s="3054" t="s">
        <v>1838</v>
      </c>
      <c r="R68" s="2276">
        <f>W68/S68</f>
        <v>0.20482996849243976</v>
      </c>
      <c r="S68" s="4613">
        <v>146462943</v>
      </c>
      <c r="T68" s="2605" t="s">
        <v>1839</v>
      </c>
      <c r="U68" s="2386" t="s">
        <v>1840</v>
      </c>
      <c r="V68" s="2386" t="s">
        <v>1841</v>
      </c>
      <c r="W68" s="956">
        <v>30000000</v>
      </c>
      <c r="X68" s="957">
        <v>24762143</v>
      </c>
      <c r="Y68" s="957">
        <v>24762143</v>
      </c>
      <c r="Z68" s="2625" t="s">
        <v>1816</v>
      </c>
      <c r="AA68" s="2605" t="s">
        <v>1842</v>
      </c>
      <c r="AB68" s="3090">
        <v>64149</v>
      </c>
      <c r="AC68" s="2826">
        <f>SUM(AB68*0.64)</f>
        <v>41055.360000000001</v>
      </c>
      <c r="AD68" s="3090">
        <v>72224</v>
      </c>
      <c r="AE68" s="2826">
        <f>SUM(AD68*0.64)</f>
        <v>46223.360000000001</v>
      </c>
      <c r="AF68" s="3090">
        <v>27477</v>
      </c>
      <c r="AG68" s="2826">
        <f>SUM(AF68*0.64)</f>
        <v>17585.28</v>
      </c>
      <c r="AH68" s="3090">
        <v>86843</v>
      </c>
      <c r="AI68" s="2826">
        <f>SUM(AH68*0.64)</f>
        <v>55579.520000000004</v>
      </c>
      <c r="AJ68" s="3090">
        <v>236429</v>
      </c>
      <c r="AK68" s="2826">
        <f>SUM(AJ68*0.64)</f>
        <v>151314.56</v>
      </c>
      <c r="AL68" s="3090">
        <v>75612</v>
      </c>
      <c r="AM68" s="2826">
        <f>SUM(AL68*0.64)</f>
        <v>48391.68</v>
      </c>
      <c r="AN68" s="3090">
        <v>13208</v>
      </c>
      <c r="AO68" s="2826">
        <f>SUM(AN68*0.64)</f>
        <v>8453.1200000000008</v>
      </c>
      <c r="AP68" s="3090">
        <v>2145</v>
      </c>
      <c r="AQ68" s="2826">
        <f>SUM(AP68*0.64)</f>
        <v>1372.8</v>
      </c>
      <c r="AR68" s="3090">
        <v>413</v>
      </c>
      <c r="AS68" s="2826">
        <f>SUM(AR68*0.64)</f>
        <v>264.32</v>
      </c>
      <c r="AT68" s="3090">
        <v>520</v>
      </c>
      <c r="AU68" s="2826">
        <f>SUM(AT68*0.64)</f>
        <v>332.8</v>
      </c>
      <c r="AV68" s="3090">
        <v>16897</v>
      </c>
      <c r="AW68" s="2826">
        <f>SUM(AV68*0.64)</f>
        <v>10814.08</v>
      </c>
      <c r="AX68" s="3090">
        <v>75612</v>
      </c>
      <c r="AY68" s="2826">
        <f>SUM(AX68*0.64)</f>
        <v>48391.68</v>
      </c>
      <c r="AZ68" s="3090">
        <v>24</v>
      </c>
      <c r="BA68" s="4611">
        <f>SUM(X68:X71)</f>
        <v>97733880</v>
      </c>
      <c r="BB68" s="4611">
        <f>SUM(Y68:Y71)</f>
        <v>97733880</v>
      </c>
      <c r="BC68" s="3098">
        <f>BB68/BA68</f>
        <v>1</v>
      </c>
      <c r="BD68" s="3090" t="s">
        <v>1816</v>
      </c>
      <c r="BE68" s="3090" t="s">
        <v>1686</v>
      </c>
      <c r="BF68" s="3080">
        <v>42583</v>
      </c>
      <c r="BG68" s="2578">
        <v>42583</v>
      </c>
      <c r="BH68" s="3080">
        <v>42735</v>
      </c>
      <c r="BI68" s="2578">
        <v>42735</v>
      </c>
      <c r="BJ68" s="4607" t="s">
        <v>1687</v>
      </c>
    </row>
    <row r="69" spans="1:68" ht="191.25" customHeight="1" x14ac:dyDescent="0.2">
      <c r="A69" s="924"/>
      <c r="B69" s="931"/>
      <c r="C69" s="689"/>
      <c r="D69" s="689"/>
      <c r="E69" s="689"/>
      <c r="F69" s="932"/>
      <c r="G69" s="931"/>
      <c r="H69" s="689"/>
      <c r="I69" s="932"/>
      <c r="J69" s="2107">
        <v>155</v>
      </c>
      <c r="K69" s="2386" t="s">
        <v>1843</v>
      </c>
      <c r="L69" s="2116" t="s">
        <v>146</v>
      </c>
      <c r="M69" s="2107">
        <v>1</v>
      </c>
      <c r="N69" s="2486">
        <v>1</v>
      </c>
      <c r="O69" s="2987"/>
      <c r="P69" s="2601"/>
      <c r="Q69" s="3055"/>
      <c r="R69" s="2276">
        <f>W69/S68</f>
        <v>0.4437982650669528</v>
      </c>
      <c r="S69" s="4615"/>
      <c r="T69" s="2987"/>
      <c r="U69" s="2386" t="s">
        <v>1844</v>
      </c>
      <c r="V69" s="2386" t="s">
        <v>1845</v>
      </c>
      <c r="W69" s="956">
        <v>65000000</v>
      </c>
      <c r="X69" s="957">
        <v>43090857</v>
      </c>
      <c r="Y69" s="957">
        <f>X69</f>
        <v>43090857</v>
      </c>
      <c r="Z69" s="4633"/>
      <c r="AA69" s="2987"/>
      <c r="AB69" s="4007"/>
      <c r="AC69" s="2827"/>
      <c r="AD69" s="4007"/>
      <c r="AE69" s="2827"/>
      <c r="AF69" s="4007"/>
      <c r="AG69" s="2827"/>
      <c r="AH69" s="4007"/>
      <c r="AI69" s="2827"/>
      <c r="AJ69" s="4007"/>
      <c r="AK69" s="2827"/>
      <c r="AL69" s="4007"/>
      <c r="AM69" s="2827"/>
      <c r="AN69" s="4007"/>
      <c r="AO69" s="2827"/>
      <c r="AP69" s="4007"/>
      <c r="AQ69" s="2827"/>
      <c r="AR69" s="4007"/>
      <c r="AS69" s="2827"/>
      <c r="AT69" s="4007"/>
      <c r="AU69" s="2827"/>
      <c r="AV69" s="4007"/>
      <c r="AW69" s="2827"/>
      <c r="AX69" s="4007"/>
      <c r="AY69" s="2827"/>
      <c r="AZ69" s="4007"/>
      <c r="BA69" s="4619"/>
      <c r="BB69" s="4619"/>
      <c r="BC69" s="3234"/>
      <c r="BD69" s="4007"/>
      <c r="BE69" s="4007"/>
      <c r="BF69" s="3081"/>
      <c r="BG69" s="2579"/>
      <c r="BH69" s="3081"/>
      <c r="BI69" s="2579"/>
      <c r="BJ69" s="4607"/>
    </row>
    <row r="70" spans="1:68" ht="95.25" customHeight="1" x14ac:dyDescent="0.2">
      <c r="A70" s="924"/>
      <c r="B70" s="931"/>
      <c r="C70" s="689"/>
      <c r="D70" s="689"/>
      <c r="E70" s="689"/>
      <c r="F70" s="932"/>
      <c r="G70" s="931"/>
      <c r="H70" s="689"/>
      <c r="I70" s="932"/>
      <c r="J70" s="2105">
        <v>156</v>
      </c>
      <c r="K70" s="2199" t="s">
        <v>1846</v>
      </c>
      <c r="L70" s="2107" t="s">
        <v>146</v>
      </c>
      <c r="M70" s="2105">
        <v>12</v>
      </c>
      <c r="N70" s="2530">
        <v>11</v>
      </c>
      <c r="O70" s="2987"/>
      <c r="P70" s="2601"/>
      <c r="Q70" s="3055"/>
      <c r="R70" s="2205">
        <f>17462943/S68</f>
        <v>0.11923113548250905</v>
      </c>
      <c r="S70" s="4615"/>
      <c r="T70" s="2987"/>
      <c r="U70" s="2199" t="s">
        <v>1847</v>
      </c>
      <c r="V70" s="2386" t="s">
        <v>1848</v>
      </c>
      <c r="W70" s="956">
        <f>13970354.4+3492589</f>
        <v>17462943.399999999</v>
      </c>
      <c r="X70" s="957">
        <v>16360880</v>
      </c>
      <c r="Y70" s="957">
        <f>X70</f>
        <v>16360880</v>
      </c>
      <c r="Z70" s="4633"/>
      <c r="AA70" s="2987"/>
      <c r="AB70" s="4007"/>
      <c r="AC70" s="2827"/>
      <c r="AD70" s="4007"/>
      <c r="AE70" s="2827"/>
      <c r="AF70" s="4007"/>
      <c r="AG70" s="2827"/>
      <c r="AH70" s="4007"/>
      <c r="AI70" s="2827"/>
      <c r="AJ70" s="4007"/>
      <c r="AK70" s="2827"/>
      <c r="AL70" s="4007"/>
      <c r="AM70" s="2827"/>
      <c r="AN70" s="4007"/>
      <c r="AO70" s="2827"/>
      <c r="AP70" s="4007"/>
      <c r="AQ70" s="2827"/>
      <c r="AR70" s="4007"/>
      <c r="AS70" s="2827"/>
      <c r="AT70" s="4007"/>
      <c r="AU70" s="2827"/>
      <c r="AV70" s="4007"/>
      <c r="AW70" s="2827"/>
      <c r="AX70" s="4007"/>
      <c r="AY70" s="2827"/>
      <c r="AZ70" s="4007"/>
      <c r="BA70" s="4619"/>
      <c r="BB70" s="4619"/>
      <c r="BC70" s="3234"/>
      <c r="BD70" s="4007"/>
      <c r="BE70" s="4007"/>
      <c r="BF70" s="3081"/>
      <c r="BG70" s="2579"/>
      <c r="BH70" s="3081"/>
      <c r="BI70" s="2579"/>
      <c r="BJ70" s="4607"/>
    </row>
    <row r="71" spans="1:68" ht="75" customHeight="1" x14ac:dyDescent="0.2">
      <c r="A71" s="924"/>
      <c r="B71" s="931"/>
      <c r="C71" s="689"/>
      <c r="D71" s="689"/>
      <c r="E71" s="689"/>
      <c r="F71" s="932"/>
      <c r="G71" s="931"/>
      <c r="H71" s="689"/>
      <c r="I71" s="932"/>
      <c r="J71" s="2107">
        <v>157</v>
      </c>
      <c r="K71" s="2386" t="s">
        <v>1849</v>
      </c>
      <c r="L71" s="2116" t="s">
        <v>146</v>
      </c>
      <c r="M71" s="2107">
        <v>12</v>
      </c>
      <c r="N71" s="2185">
        <v>12</v>
      </c>
      <c r="O71" s="2988"/>
      <c r="P71" s="2636"/>
      <c r="Q71" s="3056"/>
      <c r="R71" s="2276">
        <f>W71/S68</f>
        <v>0.23214063095809839</v>
      </c>
      <c r="S71" s="4614"/>
      <c r="T71" s="2988"/>
      <c r="U71" s="2386" t="s">
        <v>1850</v>
      </c>
      <c r="V71" s="2386" t="s">
        <v>1851</v>
      </c>
      <c r="W71" s="997">
        <v>34000000</v>
      </c>
      <c r="X71" s="957">
        <v>13520000</v>
      </c>
      <c r="Y71" s="957">
        <v>13520000</v>
      </c>
      <c r="Z71" s="4634"/>
      <c r="AA71" s="2988"/>
      <c r="AB71" s="3091"/>
      <c r="AC71" s="2862"/>
      <c r="AD71" s="3091"/>
      <c r="AE71" s="2862"/>
      <c r="AF71" s="3091"/>
      <c r="AG71" s="2862"/>
      <c r="AH71" s="3091"/>
      <c r="AI71" s="2862"/>
      <c r="AJ71" s="3091"/>
      <c r="AK71" s="2862"/>
      <c r="AL71" s="3091"/>
      <c r="AM71" s="2862"/>
      <c r="AN71" s="3091"/>
      <c r="AO71" s="2862"/>
      <c r="AP71" s="3091"/>
      <c r="AQ71" s="2862"/>
      <c r="AR71" s="3091"/>
      <c r="AS71" s="2862"/>
      <c r="AT71" s="3091"/>
      <c r="AU71" s="2862"/>
      <c r="AV71" s="3091"/>
      <c r="AW71" s="2862"/>
      <c r="AX71" s="3091"/>
      <c r="AY71" s="2862"/>
      <c r="AZ71" s="3091"/>
      <c r="BA71" s="4612"/>
      <c r="BB71" s="4612"/>
      <c r="BC71" s="3099"/>
      <c r="BD71" s="3091"/>
      <c r="BE71" s="3091"/>
      <c r="BF71" s="3082"/>
      <c r="BG71" s="2580"/>
      <c r="BH71" s="3082"/>
      <c r="BI71" s="2580"/>
      <c r="BJ71" s="4607"/>
    </row>
    <row r="72" spans="1:68" ht="118.5" customHeight="1" x14ac:dyDescent="0.2">
      <c r="A72" s="924"/>
      <c r="B72" s="931"/>
      <c r="C72" s="689"/>
      <c r="D72" s="689"/>
      <c r="E72" s="689"/>
      <c r="F72" s="932"/>
      <c r="G72" s="936"/>
      <c r="H72" s="937"/>
      <c r="I72" s="938"/>
      <c r="J72" s="2107">
        <v>156</v>
      </c>
      <c r="K72" s="2386" t="s">
        <v>1846</v>
      </c>
      <c r="L72" s="2107" t="s">
        <v>146</v>
      </c>
      <c r="M72" s="2107">
        <v>12</v>
      </c>
      <c r="N72" s="2485">
        <v>11</v>
      </c>
      <c r="O72" s="2386" t="s">
        <v>1852</v>
      </c>
      <c r="P72" s="2137">
        <v>149</v>
      </c>
      <c r="Q72" s="2386" t="s">
        <v>1853</v>
      </c>
      <c r="R72" s="2276">
        <v>1</v>
      </c>
      <c r="S72" s="956">
        <v>103544440</v>
      </c>
      <c r="T72" s="2129" t="s">
        <v>1854</v>
      </c>
      <c r="U72" s="2386" t="s">
        <v>1855</v>
      </c>
      <c r="V72" s="2386" t="s">
        <v>1856</v>
      </c>
      <c r="W72" s="956">
        <v>103544440</v>
      </c>
      <c r="X72" s="957">
        <v>99544000</v>
      </c>
      <c r="Y72" s="957">
        <v>99544000</v>
      </c>
      <c r="Z72" s="2135">
        <v>61</v>
      </c>
      <c r="AA72" s="2129" t="s">
        <v>1857</v>
      </c>
      <c r="AB72" s="2201">
        <v>64149</v>
      </c>
      <c r="AC72" s="2170">
        <v>64149</v>
      </c>
      <c r="AD72" s="2201">
        <v>72224</v>
      </c>
      <c r="AE72" s="2170">
        <v>72224</v>
      </c>
      <c r="AF72" s="2201">
        <v>27477</v>
      </c>
      <c r="AG72" s="2170">
        <v>27477</v>
      </c>
      <c r="AH72" s="2201">
        <v>86843</v>
      </c>
      <c r="AI72" s="2170">
        <v>86843</v>
      </c>
      <c r="AJ72" s="2201">
        <v>236429</v>
      </c>
      <c r="AK72" s="2170">
        <v>236429</v>
      </c>
      <c r="AL72" s="2201">
        <v>75612</v>
      </c>
      <c r="AM72" s="2170">
        <v>75612</v>
      </c>
      <c r="AN72" s="2201">
        <v>13208</v>
      </c>
      <c r="AO72" s="2170">
        <v>13208</v>
      </c>
      <c r="AP72" s="2201">
        <v>2145</v>
      </c>
      <c r="AQ72" s="2170">
        <v>2145</v>
      </c>
      <c r="AR72" s="2201">
        <v>413</v>
      </c>
      <c r="AS72" s="2170">
        <v>413</v>
      </c>
      <c r="AT72" s="2201">
        <v>520</v>
      </c>
      <c r="AU72" s="2170">
        <v>520</v>
      </c>
      <c r="AV72" s="2201">
        <v>16897</v>
      </c>
      <c r="AW72" s="2170">
        <v>16897</v>
      </c>
      <c r="AX72" s="2201">
        <v>75612</v>
      </c>
      <c r="AY72" s="2170">
        <v>75612</v>
      </c>
      <c r="AZ72" s="2201">
        <v>12</v>
      </c>
      <c r="BA72" s="2502">
        <f>SUM(X72)</f>
        <v>99544000</v>
      </c>
      <c r="BB72" s="2502">
        <f>SUM(Y72)</f>
        <v>99544000</v>
      </c>
      <c r="BC72" s="2205">
        <f>BB72/BA72</f>
        <v>1</v>
      </c>
      <c r="BD72" s="2201">
        <v>61</v>
      </c>
      <c r="BE72" s="2201" t="s">
        <v>1686</v>
      </c>
      <c r="BF72" s="2294">
        <v>42370</v>
      </c>
      <c r="BG72" s="2297">
        <v>42370</v>
      </c>
      <c r="BH72" s="2294">
        <v>42521</v>
      </c>
      <c r="BI72" s="2297">
        <v>42521</v>
      </c>
      <c r="BJ72" s="2499" t="s">
        <v>1687</v>
      </c>
    </row>
    <row r="73" spans="1:68" ht="30" customHeight="1" x14ac:dyDescent="0.2">
      <c r="A73" s="916"/>
      <c r="B73" s="925"/>
      <c r="C73" s="519"/>
      <c r="D73" s="519"/>
      <c r="E73" s="519"/>
      <c r="F73" s="926"/>
      <c r="G73" s="920">
        <v>45</v>
      </c>
      <c r="H73" s="50" t="s">
        <v>1858</v>
      </c>
      <c r="I73" s="50"/>
      <c r="J73" s="1376"/>
      <c r="K73" s="412"/>
      <c r="L73" s="2520"/>
      <c r="M73" s="2520"/>
      <c r="N73" s="643"/>
      <c r="O73" s="412"/>
      <c r="P73" s="2520"/>
      <c r="Q73" s="412"/>
      <c r="R73" s="2520"/>
      <c r="S73" s="946"/>
      <c r="T73" s="412"/>
      <c r="U73" s="412"/>
      <c r="V73" s="946"/>
      <c r="W73" s="998"/>
      <c r="X73" s="998"/>
      <c r="Y73" s="998"/>
      <c r="Z73" s="2519"/>
      <c r="AA73" s="412"/>
      <c r="AB73" s="412"/>
      <c r="AC73" s="921"/>
      <c r="AD73" s="412"/>
      <c r="AE73" s="921"/>
      <c r="AF73" s="412"/>
      <c r="AG73" s="921"/>
      <c r="AH73" s="412"/>
      <c r="AI73" s="921"/>
      <c r="AJ73" s="412"/>
      <c r="AK73" s="921"/>
      <c r="AL73" s="412"/>
      <c r="AM73" s="921"/>
      <c r="AN73" s="412"/>
      <c r="AO73" s="921"/>
      <c r="AP73" s="412"/>
      <c r="AQ73" s="921"/>
      <c r="AR73" s="412"/>
      <c r="AS73" s="921"/>
      <c r="AT73" s="412"/>
      <c r="AU73" s="921"/>
      <c r="AV73" s="412"/>
      <c r="AW73" s="921"/>
      <c r="AX73" s="412"/>
      <c r="AY73" s="921"/>
      <c r="AZ73" s="412"/>
      <c r="BA73" s="1553"/>
      <c r="BB73" s="1553"/>
      <c r="BC73" s="943"/>
      <c r="BD73" s="412"/>
      <c r="BE73" s="412"/>
      <c r="BF73" s="50"/>
      <c r="BG73" s="411"/>
      <c r="BH73" s="50"/>
      <c r="BI73" s="411"/>
      <c r="BJ73" s="50"/>
      <c r="BK73" s="1"/>
      <c r="BL73" s="1"/>
      <c r="BM73" s="1"/>
      <c r="BN73" s="1"/>
      <c r="BO73" s="1"/>
      <c r="BP73" s="1"/>
    </row>
    <row r="74" spans="1:68" ht="105.75" customHeight="1" x14ac:dyDescent="0.2">
      <c r="A74" s="924"/>
      <c r="B74" s="931"/>
      <c r="C74" s="689"/>
      <c r="D74" s="689"/>
      <c r="E74" s="689"/>
      <c r="F74" s="932"/>
      <c r="G74" s="927"/>
      <c r="H74" s="928"/>
      <c r="I74" s="929"/>
      <c r="J74" s="2107">
        <v>158</v>
      </c>
      <c r="K74" s="2386" t="s">
        <v>1859</v>
      </c>
      <c r="L74" s="2116" t="s">
        <v>146</v>
      </c>
      <c r="M74" s="2107">
        <v>11</v>
      </c>
      <c r="N74" s="2485">
        <v>11</v>
      </c>
      <c r="O74" s="2605" t="s">
        <v>1860</v>
      </c>
      <c r="P74" s="2600">
        <v>150</v>
      </c>
      <c r="Q74" s="3054" t="s">
        <v>1861</v>
      </c>
      <c r="R74" s="2276">
        <v>0.5</v>
      </c>
      <c r="S74" s="4613">
        <v>1023444242</v>
      </c>
      <c r="T74" s="2605" t="s">
        <v>1862</v>
      </c>
      <c r="U74" s="2386" t="s">
        <v>1863</v>
      </c>
      <c r="V74" s="2386" t="s">
        <v>1864</v>
      </c>
      <c r="W74" s="956">
        <v>1023444242</v>
      </c>
      <c r="X74" s="957">
        <v>951209564</v>
      </c>
      <c r="Y74" s="957">
        <v>748698264</v>
      </c>
      <c r="Z74" s="3090">
        <v>61</v>
      </c>
      <c r="AA74" s="3054" t="s">
        <v>1702</v>
      </c>
      <c r="AB74" s="3090">
        <v>64149</v>
      </c>
      <c r="AC74" s="2826">
        <f>SUM(AB74*0.73)</f>
        <v>46828.77</v>
      </c>
      <c r="AD74" s="3090">
        <v>72224</v>
      </c>
      <c r="AE74" s="2826">
        <f>SUM(AD74*0.73)</f>
        <v>52723.519999999997</v>
      </c>
      <c r="AF74" s="3090">
        <v>27477</v>
      </c>
      <c r="AG74" s="2826">
        <f>SUM(AF74*0.73)</f>
        <v>20058.21</v>
      </c>
      <c r="AH74" s="3090">
        <v>86843</v>
      </c>
      <c r="AI74" s="2826">
        <f>SUM(AH74*0.73)</f>
        <v>63395.39</v>
      </c>
      <c r="AJ74" s="3090">
        <v>236429</v>
      </c>
      <c r="AK74" s="2826">
        <f>SUM(AJ74*0.73)</f>
        <v>172593.16999999998</v>
      </c>
      <c r="AL74" s="3090">
        <v>75612</v>
      </c>
      <c r="AM74" s="2826">
        <f>SUM(AL74*0.73)</f>
        <v>55196.76</v>
      </c>
      <c r="AN74" s="3090">
        <v>13208</v>
      </c>
      <c r="AO74" s="2826">
        <f>SUM(AN74*0.73)</f>
        <v>9641.84</v>
      </c>
      <c r="AP74" s="3090">
        <v>2145</v>
      </c>
      <c r="AQ74" s="2826">
        <f>SUM(AP74*0.73)</f>
        <v>1565.85</v>
      </c>
      <c r="AR74" s="3090">
        <v>413</v>
      </c>
      <c r="AS74" s="2826">
        <f>SUM(AR74*0.73)</f>
        <v>301.49</v>
      </c>
      <c r="AT74" s="3090">
        <v>520</v>
      </c>
      <c r="AU74" s="2826">
        <f>SUM(AT74*0.73)</f>
        <v>379.59999999999997</v>
      </c>
      <c r="AV74" s="3090">
        <v>16897</v>
      </c>
      <c r="AW74" s="2826">
        <f>SUM(AV74*0.73)</f>
        <v>12334.81</v>
      </c>
      <c r="AX74" s="3090">
        <v>75612</v>
      </c>
      <c r="AY74" s="2826">
        <f>SUM(AX74*0.73)</f>
        <v>55196.76</v>
      </c>
      <c r="AZ74" s="3090">
        <v>51</v>
      </c>
      <c r="BA74" s="4608">
        <f>SUM(X74)</f>
        <v>951209564</v>
      </c>
      <c r="BB74" s="4608">
        <f>SUM(Y74)</f>
        <v>748698264</v>
      </c>
      <c r="BC74" s="3098">
        <f>BB74/BA74</f>
        <v>0.78710127855695111</v>
      </c>
      <c r="BD74" s="3090">
        <v>61</v>
      </c>
      <c r="BE74" s="3090" t="s">
        <v>1686</v>
      </c>
      <c r="BF74" s="3080">
        <v>42583</v>
      </c>
      <c r="BG74" s="2578">
        <v>42583</v>
      </c>
      <c r="BH74" s="3080">
        <v>42735</v>
      </c>
      <c r="BI74" s="2578">
        <v>42735</v>
      </c>
      <c r="BJ74" s="4607" t="s">
        <v>1687</v>
      </c>
    </row>
    <row r="75" spans="1:68" ht="71.25" x14ac:dyDescent="0.2">
      <c r="A75" s="924"/>
      <c r="B75" s="931"/>
      <c r="C75" s="689"/>
      <c r="D75" s="689"/>
      <c r="E75" s="689"/>
      <c r="F75" s="932"/>
      <c r="G75" s="936"/>
      <c r="H75" s="937"/>
      <c r="I75" s="938"/>
      <c r="J75" s="2107">
        <v>159</v>
      </c>
      <c r="K75" s="2386" t="s">
        <v>1865</v>
      </c>
      <c r="L75" s="2116" t="s">
        <v>146</v>
      </c>
      <c r="M75" s="2107">
        <v>8</v>
      </c>
      <c r="N75" s="2485">
        <v>8</v>
      </c>
      <c r="O75" s="2988"/>
      <c r="P75" s="2636"/>
      <c r="Q75" s="3056"/>
      <c r="R75" s="2276">
        <v>0.25</v>
      </c>
      <c r="S75" s="4614"/>
      <c r="T75" s="2988"/>
      <c r="U75" s="2386" t="s">
        <v>1866</v>
      </c>
      <c r="V75" s="2386" t="s">
        <v>1867</v>
      </c>
      <c r="W75" s="956">
        <v>0</v>
      </c>
      <c r="X75" s="957">
        <v>0</v>
      </c>
      <c r="Y75" s="957">
        <v>0</v>
      </c>
      <c r="Z75" s="3091"/>
      <c r="AA75" s="3056"/>
      <c r="AB75" s="3091"/>
      <c r="AC75" s="2862"/>
      <c r="AD75" s="3091"/>
      <c r="AE75" s="2862"/>
      <c r="AF75" s="3091"/>
      <c r="AG75" s="2862"/>
      <c r="AH75" s="3091"/>
      <c r="AI75" s="2862"/>
      <c r="AJ75" s="3091"/>
      <c r="AK75" s="2862"/>
      <c r="AL75" s="3091"/>
      <c r="AM75" s="2862"/>
      <c r="AN75" s="3091"/>
      <c r="AO75" s="2862"/>
      <c r="AP75" s="3091"/>
      <c r="AQ75" s="2862"/>
      <c r="AR75" s="3091"/>
      <c r="AS75" s="2862"/>
      <c r="AT75" s="3091"/>
      <c r="AU75" s="2862"/>
      <c r="AV75" s="3091"/>
      <c r="AW75" s="2862"/>
      <c r="AX75" s="3091"/>
      <c r="AY75" s="2862"/>
      <c r="AZ75" s="3091"/>
      <c r="BA75" s="4610"/>
      <c r="BB75" s="4610"/>
      <c r="BC75" s="3099"/>
      <c r="BD75" s="3091"/>
      <c r="BE75" s="3091"/>
      <c r="BF75" s="3082"/>
      <c r="BG75" s="2580"/>
      <c r="BH75" s="3082"/>
      <c r="BI75" s="2580"/>
      <c r="BJ75" s="4607"/>
    </row>
    <row r="76" spans="1:68" ht="39.75" customHeight="1" x14ac:dyDescent="0.2">
      <c r="A76" s="916"/>
      <c r="B76" s="925"/>
      <c r="C76" s="519"/>
      <c r="D76" s="519"/>
      <c r="E76" s="519"/>
      <c r="F76" s="926"/>
      <c r="G76" s="920">
        <v>46</v>
      </c>
      <c r="H76" s="50" t="s">
        <v>1868</v>
      </c>
      <c r="I76" s="50"/>
      <c r="J76" s="1376"/>
      <c r="K76" s="412"/>
      <c r="L76" s="2520"/>
      <c r="M76" s="2520"/>
      <c r="N76" s="643"/>
      <c r="O76" s="412"/>
      <c r="P76" s="2520"/>
      <c r="Q76" s="412"/>
      <c r="R76" s="2520"/>
      <c r="S76" s="946"/>
      <c r="T76" s="412"/>
      <c r="U76" s="412"/>
      <c r="V76" s="412"/>
      <c r="W76" s="998"/>
      <c r="X76" s="999"/>
      <c r="Y76" s="999"/>
      <c r="Z76" s="2519"/>
      <c r="AA76" s="412"/>
      <c r="AB76" s="412"/>
      <c r="AC76" s="921"/>
      <c r="AD76" s="412"/>
      <c r="AE76" s="921"/>
      <c r="AF76" s="412"/>
      <c r="AG76" s="921"/>
      <c r="AH76" s="412"/>
      <c r="AI76" s="921"/>
      <c r="AJ76" s="412"/>
      <c r="AK76" s="921"/>
      <c r="AL76" s="996"/>
      <c r="AM76" s="994"/>
      <c r="AN76" s="412"/>
      <c r="AO76" s="921"/>
      <c r="AP76" s="996"/>
      <c r="AQ76" s="994"/>
      <c r="AR76" s="412"/>
      <c r="AS76" s="921"/>
      <c r="AT76" s="412"/>
      <c r="AU76" s="921"/>
      <c r="AV76" s="412"/>
      <c r="AW76" s="921"/>
      <c r="AX76" s="412"/>
      <c r="AY76" s="921"/>
      <c r="AZ76" s="412"/>
      <c r="BA76" s="1553"/>
      <c r="BB76" s="1553"/>
      <c r="BC76" s="943"/>
      <c r="BD76" s="412"/>
      <c r="BE76" s="412"/>
      <c r="BF76" s="50"/>
      <c r="BG76" s="411"/>
      <c r="BH76" s="50"/>
      <c r="BI76" s="411"/>
      <c r="BJ76" s="50"/>
      <c r="BK76" s="1"/>
      <c r="BL76" s="1"/>
      <c r="BM76" s="1"/>
      <c r="BN76" s="1"/>
      <c r="BO76" s="1"/>
      <c r="BP76" s="1"/>
    </row>
    <row r="77" spans="1:68" ht="67.5" customHeight="1" x14ac:dyDescent="0.2">
      <c r="A77" s="924"/>
      <c r="B77" s="931"/>
      <c r="C77" s="689"/>
      <c r="D77" s="689"/>
      <c r="E77" s="689"/>
      <c r="F77" s="932"/>
      <c r="G77" s="927"/>
      <c r="H77" s="928"/>
      <c r="I77" s="929"/>
      <c r="J77" s="2723">
        <v>160</v>
      </c>
      <c r="K77" s="3054" t="s">
        <v>1869</v>
      </c>
      <c r="L77" s="2707" t="s">
        <v>146</v>
      </c>
      <c r="M77" s="2707">
        <v>300</v>
      </c>
      <c r="N77" s="2821">
        <v>364</v>
      </c>
      <c r="O77" s="2605" t="s">
        <v>1870</v>
      </c>
      <c r="P77" s="2600">
        <v>151</v>
      </c>
      <c r="Q77" s="3054" t="s">
        <v>1871</v>
      </c>
      <c r="R77" s="3098">
        <v>1</v>
      </c>
      <c r="S77" s="4613">
        <v>937272404</v>
      </c>
      <c r="T77" s="2605" t="s">
        <v>1872</v>
      </c>
      <c r="U77" s="2386" t="s">
        <v>1873</v>
      </c>
      <c r="V77" s="3054" t="s">
        <v>1874</v>
      </c>
      <c r="W77" s="4613">
        <v>876472404</v>
      </c>
      <c r="X77" s="4003">
        <v>288479421</v>
      </c>
      <c r="Y77" s="4003">
        <v>288479421</v>
      </c>
      <c r="Z77" s="3090">
        <v>61</v>
      </c>
      <c r="AA77" s="3054" t="s">
        <v>1702</v>
      </c>
      <c r="AB77" s="3090">
        <v>64149</v>
      </c>
      <c r="AC77" s="2826">
        <f>SUM(AB77*0.32)</f>
        <v>20527.68</v>
      </c>
      <c r="AD77" s="3090">
        <v>72224</v>
      </c>
      <c r="AE77" s="2826">
        <f>SUM(AD77*0.32)</f>
        <v>23111.68</v>
      </c>
      <c r="AF77" s="3090">
        <v>27477</v>
      </c>
      <c r="AG77" s="2826">
        <f>SUM(AF77*0.32)</f>
        <v>8792.64</v>
      </c>
      <c r="AH77" s="3090">
        <v>86843</v>
      </c>
      <c r="AI77" s="2826">
        <f>SUM(AH77*0.32)</f>
        <v>27789.760000000002</v>
      </c>
      <c r="AJ77" s="3090">
        <v>236429</v>
      </c>
      <c r="AK77" s="2826">
        <f>SUM(AJ77*0.32)</f>
        <v>75657.279999999999</v>
      </c>
      <c r="AL77" s="3090">
        <v>75612</v>
      </c>
      <c r="AM77" s="2826">
        <f>SUM(AL77*0.32)</f>
        <v>24195.84</v>
      </c>
      <c r="AN77" s="3090">
        <v>13208</v>
      </c>
      <c r="AO77" s="2826">
        <f>SUM(AN77*0.32)</f>
        <v>4226.5600000000004</v>
      </c>
      <c r="AP77" s="3090">
        <v>2145</v>
      </c>
      <c r="AQ77" s="2826">
        <f>SUM(AP77*0.32)</f>
        <v>686.4</v>
      </c>
      <c r="AR77" s="3090">
        <v>413</v>
      </c>
      <c r="AS77" s="2826">
        <f>SUM(AR77*0.32)</f>
        <v>132.16</v>
      </c>
      <c r="AT77" s="3090">
        <v>520</v>
      </c>
      <c r="AU77" s="2826">
        <f>SUM(AT77*0.32)</f>
        <v>166.4</v>
      </c>
      <c r="AV77" s="3090">
        <v>16897</v>
      </c>
      <c r="AW77" s="2826">
        <f>SUM(AV77*0.32)</f>
        <v>5407.04</v>
      </c>
      <c r="AX77" s="3090">
        <v>75612</v>
      </c>
      <c r="AY77" s="2826">
        <f>SUM(AX77*0.32)</f>
        <v>24195.84</v>
      </c>
      <c r="AZ77" s="3090">
        <v>28</v>
      </c>
      <c r="BA77" s="4611">
        <f>SUM(X77:X80)</f>
        <v>300479421</v>
      </c>
      <c r="BB77" s="4611">
        <f>SUM(Y77:Y80)</f>
        <v>300479421</v>
      </c>
      <c r="BC77" s="3098">
        <f>BA77/BB77</f>
        <v>1</v>
      </c>
      <c r="BD77" s="3090">
        <v>61</v>
      </c>
      <c r="BE77" s="3090" t="s">
        <v>1686</v>
      </c>
      <c r="BF77" s="3080">
        <v>42583</v>
      </c>
      <c r="BG77" s="2578">
        <v>42583</v>
      </c>
      <c r="BH77" s="3080">
        <v>42735</v>
      </c>
      <c r="BI77" s="2578">
        <v>42735</v>
      </c>
      <c r="BJ77" s="4607" t="s">
        <v>1687</v>
      </c>
    </row>
    <row r="78" spans="1:68" ht="81.75" customHeight="1" x14ac:dyDescent="0.2">
      <c r="A78" s="924"/>
      <c r="B78" s="931"/>
      <c r="C78" s="689"/>
      <c r="D78" s="689"/>
      <c r="E78" s="689"/>
      <c r="F78" s="932"/>
      <c r="G78" s="931"/>
      <c r="H78" s="689"/>
      <c r="I78" s="932"/>
      <c r="J78" s="2723"/>
      <c r="K78" s="3055"/>
      <c r="L78" s="2708"/>
      <c r="M78" s="2708"/>
      <c r="N78" s="2822"/>
      <c r="O78" s="2987"/>
      <c r="P78" s="2601"/>
      <c r="Q78" s="3055"/>
      <c r="R78" s="3234"/>
      <c r="S78" s="4615"/>
      <c r="T78" s="2987"/>
      <c r="U78" s="2386" t="s">
        <v>1875</v>
      </c>
      <c r="V78" s="3056"/>
      <c r="W78" s="4614"/>
      <c r="X78" s="4004"/>
      <c r="Y78" s="4004"/>
      <c r="Z78" s="4007"/>
      <c r="AA78" s="3055"/>
      <c r="AB78" s="4007"/>
      <c r="AC78" s="2827"/>
      <c r="AD78" s="4007"/>
      <c r="AE78" s="2827"/>
      <c r="AF78" s="4007"/>
      <c r="AG78" s="2827"/>
      <c r="AH78" s="4007"/>
      <c r="AI78" s="2827"/>
      <c r="AJ78" s="4007"/>
      <c r="AK78" s="2827"/>
      <c r="AL78" s="4007"/>
      <c r="AM78" s="2827"/>
      <c r="AN78" s="4007"/>
      <c r="AO78" s="2827"/>
      <c r="AP78" s="4007"/>
      <c r="AQ78" s="2827"/>
      <c r="AR78" s="4007"/>
      <c r="AS78" s="2827"/>
      <c r="AT78" s="4007"/>
      <c r="AU78" s="2827"/>
      <c r="AV78" s="4007"/>
      <c r="AW78" s="2827"/>
      <c r="AX78" s="4007"/>
      <c r="AY78" s="2827"/>
      <c r="AZ78" s="4007"/>
      <c r="BA78" s="4619"/>
      <c r="BB78" s="4619"/>
      <c r="BC78" s="3234"/>
      <c r="BD78" s="4007"/>
      <c r="BE78" s="4007"/>
      <c r="BF78" s="3081"/>
      <c r="BG78" s="2579"/>
      <c r="BH78" s="3081"/>
      <c r="BI78" s="2579"/>
      <c r="BJ78" s="4607"/>
    </row>
    <row r="79" spans="1:68" ht="73.5" customHeight="1" x14ac:dyDescent="0.2">
      <c r="A79" s="924"/>
      <c r="B79" s="931"/>
      <c r="C79" s="689"/>
      <c r="D79" s="689"/>
      <c r="E79" s="689"/>
      <c r="F79" s="932"/>
      <c r="G79" s="931"/>
      <c r="H79" s="689"/>
      <c r="I79" s="932"/>
      <c r="J79" s="2723"/>
      <c r="K79" s="3055"/>
      <c r="L79" s="2708"/>
      <c r="M79" s="2708"/>
      <c r="N79" s="2822"/>
      <c r="O79" s="2987"/>
      <c r="P79" s="2601"/>
      <c r="Q79" s="3055"/>
      <c r="R79" s="3234"/>
      <c r="S79" s="4615"/>
      <c r="T79" s="2987"/>
      <c r="U79" s="2386" t="s">
        <v>1876</v>
      </c>
      <c r="V79" s="3054" t="s">
        <v>1877</v>
      </c>
      <c r="W79" s="4613">
        <v>60800000</v>
      </c>
      <c r="X79" s="4003">
        <v>12000000</v>
      </c>
      <c r="Y79" s="4003">
        <v>12000000</v>
      </c>
      <c r="Z79" s="4007"/>
      <c r="AA79" s="3055"/>
      <c r="AB79" s="4007"/>
      <c r="AC79" s="2827"/>
      <c r="AD79" s="4007"/>
      <c r="AE79" s="2827"/>
      <c r="AF79" s="4007"/>
      <c r="AG79" s="2827"/>
      <c r="AH79" s="4007"/>
      <c r="AI79" s="2827"/>
      <c r="AJ79" s="4007"/>
      <c r="AK79" s="2827"/>
      <c r="AL79" s="4007"/>
      <c r="AM79" s="2827"/>
      <c r="AN79" s="4007"/>
      <c r="AO79" s="2827"/>
      <c r="AP79" s="4007"/>
      <c r="AQ79" s="2827"/>
      <c r="AR79" s="4007"/>
      <c r="AS79" s="2827"/>
      <c r="AT79" s="4007"/>
      <c r="AU79" s="2827"/>
      <c r="AV79" s="4007"/>
      <c r="AW79" s="2827"/>
      <c r="AX79" s="4007"/>
      <c r="AY79" s="2827"/>
      <c r="AZ79" s="4007"/>
      <c r="BA79" s="4619"/>
      <c r="BB79" s="4619"/>
      <c r="BC79" s="3234"/>
      <c r="BD79" s="4007"/>
      <c r="BE79" s="4007"/>
      <c r="BF79" s="3081"/>
      <c r="BG79" s="2579"/>
      <c r="BH79" s="3081"/>
      <c r="BI79" s="2579"/>
      <c r="BJ79" s="4607"/>
    </row>
    <row r="80" spans="1:68" ht="100.5" customHeight="1" x14ac:dyDescent="0.2">
      <c r="A80" s="924"/>
      <c r="B80" s="931"/>
      <c r="C80" s="689"/>
      <c r="D80" s="689"/>
      <c r="E80" s="689"/>
      <c r="F80" s="932"/>
      <c r="G80" s="931"/>
      <c r="H80" s="689"/>
      <c r="I80" s="932"/>
      <c r="J80" s="2723"/>
      <c r="K80" s="3056"/>
      <c r="L80" s="2709"/>
      <c r="M80" s="2709"/>
      <c r="N80" s="2823"/>
      <c r="O80" s="2988"/>
      <c r="P80" s="2636"/>
      <c r="Q80" s="3056"/>
      <c r="R80" s="3099"/>
      <c r="S80" s="4614"/>
      <c r="T80" s="2988"/>
      <c r="U80" s="2386" t="s">
        <v>1878</v>
      </c>
      <c r="V80" s="3056"/>
      <c r="W80" s="4614"/>
      <c r="X80" s="4004"/>
      <c r="Y80" s="4004"/>
      <c r="Z80" s="3091"/>
      <c r="AA80" s="3056"/>
      <c r="AB80" s="3091"/>
      <c r="AC80" s="2862"/>
      <c r="AD80" s="3091"/>
      <c r="AE80" s="2862"/>
      <c r="AF80" s="3091"/>
      <c r="AG80" s="2862"/>
      <c r="AH80" s="3091"/>
      <c r="AI80" s="2862"/>
      <c r="AJ80" s="3091"/>
      <c r="AK80" s="2862"/>
      <c r="AL80" s="3091"/>
      <c r="AM80" s="2862"/>
      <c r="AN80" s="3091"/>
      <c r="AO80" s="2862"/>
      <c r="AP80" s="3091"/>
      <c r="AQ80" s="2862"/>
      <c r="AR80" s="3091"/>
      <c r="AS80" s="2862"/>
      <c r="AT80" s="3091"/>
      <c r="AU80" s="2862"/>
      <c r="AV80" s="3091"/>
      <c r="AW80" s="2862"/>
      <c r="AX80" s="3091"/>
      <c r="AY80" s="2862"/>
      <c r="AZ80" s="3091"/>
      <c r="BA80" s="4612"/>
      <c r="BB80" s="4612"/>
      <c r="BC80" s="3099"/>
      <c r="BD80" s="3091"/>
      <c r="BE80" s="3091"/>
      <c r="BF80" s="3082"/>
      <c r="BG80" s="2580"/>
      <c r="BH80" s="3082"/>
      <c r="BI80" s="2580"/>
      <c r="BJ80" s="4607"/>
    </row>
    <row r="81" spans="1:68" ht="29.25" customHeight="1" x14ac:dyDescent="0.2">
      <c r="A81" s="924"/>
      <c r="B81" s="931"/>
      <c r="C81" s="689"/>
      <c r="D81" s="689"/>
      <c r="E81" s="689"/>
      <c r="F81" s="932"/>
      <c r="G81" s="931"/>
      <c r="H81" s="689"/>
      <c r="I81" s="932"/>
      <c r="J81" s="1000"/>
      <c r="K81" s="1001"/>
      <c r="L81" s="1002"/>
      <c r="M81" s="1002"/>
      <c r="N81" s="1003"/>
      <c r="O81" s="1004"/>
      <c r="P81" s="1005"/>
      <c r="Q81" s="1006"/>
      <c r="R81" s="1007"/>
      <c r="S81" s="1008"/>
      <c r="T81" s="1006"/>
      <c r="U81" s="1001"/>
      <c r="V81" s="1009"/>
      <c r="W81" s="1010"/>
      <c r="X81" s="1010"/>
      <c r="Y81" s="1010"/>
      <c r="Z81" s="1011"/>
      <c r="AA81" s="1012"/>
      <c r="AB81" s="1013"/>
      <c r="AC81" s="1014"/>
      <c r="AD81" s="1013"/>
      <c r="AE81" s="1014"/>
      <c r="AF81" s="1013"/>
      <c r="AG81" s="1014"/>
      <c r="AH81" s="1013"/>
      <c r="AI81" s="1014"/>
      <c r="AJ81" s="1013"/>
      <c r="AK81" s="1014"/>
      <c r="AL81" s="1013"/>
      <c r="AM81" s="1014"/>
      <c r="AN81" s="1013"/>
      <c r="AO81" s="1014"/>
      <c r="AP81" s="1013"/>
      <c r="AQ81" s="1014"/>
      <c r="AR81" s="1013"/>
      <c r="AS81" s="1014"/>
      <c r="AT81" s="1013"/>
      <c r="AU81" s="1014"/>
      <c r="AV81" s="1013"/>
      <c r="AW81" s="1014"/>
      <c r="AX81" s="1013"/>
      <c r="AY81" s="1014"/>
      <c r="AZ81" s="1015"/>
      <c r="BA81" s="1557"/>
      <c r="BB81" s="1557"/>
      <c r="BC81" s="1016"/>
      <c r="BD81" s="1013"/>
      <c r="BE81" s="1013"/>
      <c r="BF81" s="1017"/>
      <c r="BG81" s="1018"/>
      <c r="BH81" s="1017"/>
      <c r="BI81" s="1018"/>
      <c r="BJ81" s="1019"/>
    </row>
    <row r="82" spans="1:68" ht="101.25" customHeight="1" x14ac:dyDescent="0.2">
      <c r="A82" s="924"/>
      <c r="B82" s="931"/>
      <c r="C82" s="689"/>
      <c r="D82" s="689"/>
      <c r="E82" s="689"/>
      <c r="F82" s="932"/>
      <c r="G82" s="931"/>
      <c r="H82" s="689"/>
      <c r="I82" s="932"/>
      <c r="J82" s="2707">
        <v>161</v>
      </c>
      <c r="K82" s="3054" t="s">
        <v>1879</v>
      </c>
      <c r="L82" s="2707" t="s">
        <v>146</v>
      </c>
      <c r="M82" s="2707">
        <v>100</v>
      </c>
      <c r="N82" s="2672">
        <v>116</v>
      </c>
      <c r="O82" s="2605" t="s">
        <v>1880</v>
      </c>
      <c r="P82" s="2600">
        <v>152</v>
      </c>
      <c r="Q82" s="3054" t="s">
        <v>1881</v>
      </c>
      <c r="R82" s="3098">
        <f>(W82+W83+W84)/S82</f>
        <v>0.21060751865893107</v>
      </c>
      <c r="S82" s="4613">
        <v>284890114</v>
      </c>
      <c r="T82" s="2605" t="s">
        <v>1882</v>
      </c>
      <c r="U82" s="3054" t="s">
        <v>1883</v>
      </c>
      <c r="V82" s="2386" t="s">
        <v>1884</v>
      </c>
      <c r="W82" s="956">
        <v>10000000</v>
      </c>
      <c r="X82" s="930">
        <v>10000000</v>
      </c>
      <c r="Y82" s="930">
        <v>10000000</v>
      </c>
      <c r="Z82" s="3090">
        <v>61</v>
      </c>
      <c r="AA82" s="3054" t="s">
        <v>1702</v>
      </c>
      <c r="AB82" s="3090">
        <v>64149</v>
      </c>
      <c r="AC82" s="2826">
        <f>SUM(AB82*0.83)</f>
        <v>53243.67</v>
      </c>
      <c r="AD82" s="3090">
        <v>72224</v>
      </c>
      <c r="AE82" s="2826">
        <f>SUM(AD82*0.83)</f>
        <v>59945.919999999998</v>
      </c>
      <c r="AF82" s="3090">
        <v>27477</v>
      </c>
      <c r="AG82" s="2826">
        <f>SUM(AF82*0.83)</f>
        <v>22805.91</v>
      </c>
      <c r="AH82" s="3090">
        <v>86843</v>
      </c>
      <c r="AI82" s="2826">
        <f>SUM(AH82*0.83)</f>
        <v>72079.69</v>
      </c>
      <c r="AJ82" s="3090">
        <v>236429</v>
      </c>
      <c r="AK82" s="2826">
        <f>SUM(AJ82*0.83)</f>
        <v>196236.06999999998</v>
      </c>
      <c r="AL82" s="3090">
        <v>75612</v>
      </c>
      <c r="AM82" s="2826">
        <f>SUM(AL82*0.83)</f>
        <v>62757.96</v>
      </c>
      <c r="AN82" s="3090">
        <v>13208</v>
      </c>
      <c r="AO82" s="2826">
        <f>SUM(AN82*0.83)</f>
        <v>10962.64</v>
      </c>
      <c r="AP82" s="3090">
        <v>2145</v>
      </c>
      <c r="AQ82" s="2826">
        <f>SUM(AP82*0.83)</f>
        <v>1780.35</v>
      </c>
      <c r="AR82" s="3090">
        <v>413</v>
      </c>
      <c r="AS82" s="2826">
        <f>SUM(AR82*0.83)</f>
        <v>342.78999999999996</v>
      </c>
      <c r="AT82" s="3090">
        <v>520</v>
      </c>
      <c r="AU82" s="2826">
        <f>SUM(AT82*0.83)</f>
        <v>431.59999999999997</v>
      </c>
      <c r="AV82" s="3090">
        <v>16897</v>
      </c>
      <c r="AW82" s="2826">
        <f>SUM(AV82*0.83)</f>
        <v>14024.51</v>
      </c>
      <c r="AX82" s="3090">
        <v>75612</v>
      </c>
      <c r="AY82" s="2826">
        <f>SUM(AX82*0.83)</f>
        <v>62757.96</v>
      </c>
      <c r="AZ82" s="3090">
        <v>23</v>
      </c>
      <c r="BA82" s="4611">
        <f>SUM(X82:X94)</f>
        <v>236239333</v>
      </c>
      <c r="BB82" s="4611">
        <f>SUM(Y82:Y94)</f>
        <v>236239333</v>
      </c>
      <c r="BC82" s="3098">
        <f>BB82/BA82</f>
        <v>1</v>
      </c>
      <c r="BD82" s="3090">
        <v>61</v>
      </c>
      <c r="BE82" s="3090" t="s">
        <v>1686</v>
      </c>
      <c r="BF82" s="3080">
        <v>42583</v>
      </c>
      <c r="BG82" s="2578">
        <v>42583</v>
      </c>
      <c r="BH82" s="3080">
        <v>42735</v>
      </c>
      <c r="BI82" s="4639">
        <v>42735</v>
      </c>
      <c r="BJ82" s="4607" t="s">
        <v>1687</v>
      </c>
    </row>
    <row r="83" spans="1:68" ht="92.25" customHeight="1" x14ac:dyDescent="0.2">
      <c r="A83" s="924"/>
      <c r="B83" s="931"/>
      <c r="C83" s="689"/>
      <c r="D83" s="689"/>
      <c r="E83" s="689"/>
      <c r="F83" s="932"/>
      <c r="G83" s="931"/>
      <c r="H83" s="689"/>
      <c r="I83" s="932"/>
      <c r="J83" s="2708"/>
      <c r="K83" s="3055"/>
      <c r="L83" s="2708"/>
      <c r="M83" s="2708"/>
      <c r="N83" s="2673"/>
      <c r="O83" s="2987"/>
      <c r="P83" s="2601"/>
      <c r="Q83" s="3055"/>
      <c r="R83" s="3234"/>
      <c r="S83" s="4615"/>
      <c r="T83" s="2987"/>
      <c r="U83" s="3055"/>
      <c r="V83" s="2386" t="s">
        <v>1885</v>
      </c>
      <c r="W83" s="956">
        <v>40000000</v>
      </c>
      <c r="X83" s="930">
        <v>31100000</v>
      </c>
      <c r="Y83" s="930">
        <v>31100000</v>
      </c>
      <c r="Z83" s="4007"/>
      <c r="AA83" s="3055"/>
      <c r="AB83" s="4007"/>
      <c r="AC83" s="2827"/>
      <c r="AD83" s="4007"/>
      <c r="AE83" s="2827"/>
      <c r="AF83" s="4007"/>
      <c r="AG83" s="2827"/>
      <c r="AH83" s="4007"/>
      <c r="AI83" s="2827"/>
      <c r="AJ83" s="4007"/>
      <c r="AK83" s="2827"/>
      <c r="AL83" s="4007"/>
      <c r="AM83" s="2827"/>
      <c r="AN83" s="4007"/>
      <c r="AO83" s="2827"/>
      <c r="AP83" s="4007"/>
      <c r="AQ83" s="2827"/>
      <c r="AR83" s="4007"/>
      <c r="AS83" s="2827"/>
      <c r="AT83" s="4007"/>
      <c r="AU83" s="2827"/>
      <c r="AV83" s="4007"/>
      <c r="AW83" s="2827"/>
      <c r="AX83" s="4007"/>
      <c r="AY83" s="2827"/>
      <c r="AZ83" s="4007"/>
      <c r="BA83" s="4619"/>
      <c r="BB83" s="4619"/>
      <c r="BC83" s="3234"/>
      <c r="BD83" s="4007"/>
      <c r="BE83" s="4007"/>
      <c r="BF83" s="3081"/>
      <c r="BG83" s="2579"/>
      <c r="BH83" s="3081"/>
      <c r="BI83" s="4640"/>
      <c r="BJ83" s="4607"/>
    </row>
    <row r="84" spans="1:68" ht="96" customHeight="1" x14ac:dyDescent="0.2">
      <c r="A84" s="924"/>
      <c r="B84" s="931"/>
      <c r="C84" s="689"/>
      <c r="D84" s="689"/>
      <c r="E84" s="689"/>
      <c r="F84" s="932"/>
      <c r="G84" s="931"/>
      <c r="H84" s="689"/>
      <c r="I84" s="932"/>
      <c r="J84" s="2709"/>
      <c r="K84" s="3056"/>
      <c r="L84" s="2709"/>
      <c r="M84" s="2709"/>
      <c r="N84" s="2673"/>
      <c r="O84" s="2987"/>
      <c r="P84" s="2601"/>
      <c r="Q84" s="3055"/>
      <c r="R84" s="3099"/>
      <c r="S84" s="4615"/>
      <c r="T84" s="2987"/>
      <c r="U84" s="3056"/>
      <c r="V84" s="2386" t="s">
        <v>1886</v>
      </c>
      <c r="W84" s="956">
        <v>10000000</v>
      </c>
      <c r="X84" s="930">
        <v>8746333</v>
      </c>
      <c r="Y84" s="930">
        <v>8746333</v>
      </c>
      <c r="Z84" s="4007"/>
      <c r="AA84" s="3055"/>
      <c r="AB84" s="4007"/>
      <c r="AC84" s="2827"/>
      <c r="AD84" s="4007"/>
      <c r="AE84" s="2827"/>
      <c r="AF84" s="4007"/>
      <c r="AG84" s="2827"/>
      <c r="AH84" s="4007"/>
      <c r="AI84" s="2827"/>
      <c r="AJ84" s="4007"/>
      <c r="AK84" s="2827"/>
      <c r="AL84" s="4007"/>
      <c r="AM84" s="2827"/>
      <c r="AN84" s="4007"/>
      <c r="AO84" s="2827"/>
      <c r="AP84" s="4007"/>
      <c r="AQ84" s="2827"/>
      <c r="AR84" s="4007"/>
      <c r="AS84" s="2827"/>
      <c r="AT84" s="4007"/>
      <c r="AU84" s="2827"/>
      <c r="AV84" s="4007"/>
      <c r="AW84" s="2827"/>
      <c r="AX84" s="4007"/>
      <c r="AY84" s="2827"/>
      <c r="AZ84" s="4007"/>
      <c r="BA84" s="4619"/>
      <c r="BB84" s="4619"/>
      <c r="BC84" s="3234"/>
      <c r="BD84" s="4007"/>
      <c r="BE84" s="4007"/>
      <c r="BF84" s="3081"/>
      <c r="BG84" s="2579"/>
      <c r="BH84" s="3081"/>
      <c r="BI84" s="4640"/>
      <c r="BJ84" s="4607"/>
    </row>
    <row r="85" spans="1:68" ht="185.25" x14ac:dyDescent="0.2">
      <c r="A85" s="924"/>
      <c r="B85" s="931"/>
      <c r="C85" s="689"/>
      <c r="D85" s="689"/>
      <c r="E85" s="689"/>
      <c r="F85" s="932"/>
      <c r="G85" s="931"/>
      <c r="H85" s="689"/>
      <c r="I85" s="932"/>
      <c r="J85" s="2723">
        <v>162</v>
      </c>
      <c r="K85" s="3054" t="s">
        <v>1887</v>
      </c>
      <c r="L85" s="2707" t="s">
        <v>146</v>
      </c>
      <c r="M85" s="2707">
        <v>83</v>
      </c>
      <c r="N85" s="2821">
        <v>77</v>
      </c>
      <c r="O85" s="2987"/>
      <c r="P85" s="2601"/>
      <c r="Q85" s="3055"/>
      <c r="R85" s="3098">
        <f>SUM(208067810/S82)</f>
        <v>0.73034408628163205</v>
      </c>
      <c r="S85" s="4615"/>
      <c r="T85" s="2987"/>
      <c r="U85" s="3054" t="s">
        <v>1888</v>
      </c>
      <c r="V85" s="2386" t="s">
        <v>1889</v>
      </c>
      <c r="W85" s="959">
        <v>25600000</v>
      </c>
      <c r="X85" s="930">
        <v>25600000</v>
      </c>
      <c r="Y85" s="930">
        <v>25600000</v>
      </c>
      <c r="Z85" s="4007"/>
      <c r="AA85" s="3055"/>
      <c r="AB85" s="4007"/>
      <c r="AC85" s="2827"/>
      <c r="AD85" s="4007"/>
      <c r="AE85" s="2827"/>
      <c r="AF85" s="4007"/>
      <c r="AG85" s="2827"/>
      <c r="AH85" s="4007"/>
      <c r="AI85" s="2827"/>
      <c r="AJ85" s="4007"/>
      <c r="AK85" s="2827"/>
      <c r="AL85" s="4007"/>
      <c r="AM85" s="2827"/>
      <c r="AN85" s="4007"/>
      <c r="AO85" s="2827"/>
      <c r="AP85" s="4007"/>
      <c r="AQ85" s="2827"/>
      <c r="AR85" s="4007"/>
      <c r="AS85" s="2827"/>
      <c r="AT85" s="4007"/>
      <c r="AU85" s="2827"/>
      <c r="AV85" s="4007"/>
      <c r="AW85" s="2827"/>
      <c r="AX85" s="4007"/>
      <c r="AY85" s="2827"/>
      <c r="AZ85" s="4007"/>
      <c r="BA85" s="4619"/>
      <c r="BB85" s="4619"/>
      <c r="BC85" s="3234"/>
      <c r="BD85" s="4007"/>
      <c r="BE85" s="4007"/>
      <c r="BF85" s="3081"/>
      <c r="BG85" s="2579"/>
      <c r="BH85" s="3081"/>
      <c r="BI85" s="4640"/>
      <c r="BJ85" s="4607"/>
    </row>
    <row r="86" spans="1:68" ht="190.5" customHeight="1" x14ac:dyDescent="0.2">
      <c r="A86" s="924"/>
      <c r="B86" s="931"/>
      <c r="C86" s="689"/>
      <c r="D86" s="689"/>
      <c r="E86" s="689"/>
      <c r="F86" s="932"/>
      <c r="G86" s="931"/>
      <c r="H86" s="689"/>
      <c r="I86" s="932"/>
      <c r="J86" s="2723"/>
      <c r="K86" s="3055"/>
      <c r="L86" s="2708"/>
      <c r="M86" s="2708"/>
      <c r="N86" s="2822"/>
      <c r="O86" s="2987"/>
      <c r="P86" s="2601"/>
      <c r="Q86" s="3055"/>
      <c r="R86" s="3234"/>
      <c r="S86" s="4615"/>
      <c r="T86" s="2987"/>
      <c r="U86" s="3055"/>
      <c r="V86" s="2386" t="s">
        <v>1890</v>
      </c>
      <c r="W86" s="956">
        <v>32800000</v>
      </c>
      <c r="X86" s="930">
        <v>31493000</v>
      </c>
      <c r="Y86" s="930">
        <v>31493000</v>
      </c>
      <c r="Z86" s="4007"/>
      <c r="AA86" s="3055"/>
      <c r="AB86" s="4007"/>
      <c r="AC86" s="2827"/>
      <c r="AD86" s="4007"/>
      <c r="AE86" s="2827"/>
      <c r="AF86" s="4007"/>
      <c r="AG86" s="2827"/>
      <c r="AH86" s="4007"/>
      <c r="AI86" s="2827"/>
      <c r="AJ86" s="4007"/>
      <c r="AK86" s="2827"/>
      <c r="AL86" s="4007"/>
      <c r="AM86" s="2827"/>
      <c r="AN86" s="4007"/>
      <c r="AO86" s="2827"/>
      <c r="AP86" s="4007"/>
      <c r="AQ86" s="2827"/>
      <c r="AR86" s="4007"/>
      <c r="AS86" s="2827"/>
      <c r="AT86" s="4007"/>
      <c r="AU86" s="2827"/>
      <c r="AV86" s="4007"/>
      <c r="AW86" s="2827"/>
      <c r="AX86" s="4007"/>
      <c r="AY86" s="2827"/>
      <c r="AZ86" s="4007"/>
      <c r="BA86" s="4619"/>
      <c r="BB86" s="4619"/>
      <c r="BC86" s="3234"/>
      <c r="BD86" s="4007"/>
      <c r="BE86" s="4007"/>
      <c r="BF86" s="3081"/>
      <c r="BG86" s="2579"/>
      <c r="BH86" s="3081"/>
      <c r="BI86" s="4640"/>
      <c r="BJ86" s="4607"/>
    </row>
    <row r="87" spans="1:68" ht="236.25" customHeight="1" x14ac:dyDescent="0.2">
      <c r="A87" s="924"/>
      <c r="B87" s="931"/>
      <c r="C87" s="689"/>
      <c r="D87" s="689"/>
      <c r="E87" s="689"/>
      <c r="F87" s="932"/>
      <c r="G87" s="931"/>
      <c r="H87" s="689"/>
      <c r="I87" s="932"/>
      <c r="J87" s="2723"/>
      <c r="K87" s="3055"/>
      <c r="L87" s="2708"/>
      <c r="M87" s="2708"/>
      <c r="N87" s="2822"/>
      <c r="O87" s="2987"/>
      <c r="P87" s="2601"/>
      <c r="Q87" s="3055"/>
      <c r="R87" s="3234"/>
      <c r="S87" s="4615"/>
      <c r="T87" s="2987"/>
      <c r="U87" s="3055"/>
      <c r="V87" s="2386" t="s">
        <v>1891</v>
      </c>
      <c r="W87" s="956">
        <v>11250000</v>
      </c>
      <c r="X87" s="930">
        <v>11250000</v>
      </c>
      <c r="Y87" s="930">
        <v>11250000</v>
      </c>
      <c r="Z87" s="4007"/>
      <c r="AA87" s="3055"/>
      <c r="AB87" s="4007"/>
      <c r="AC87" s="2827"/>
      <c r="AD87" s="4007"/>
      <c r="AE87" s="2827"/>
      <c r="AF87" s="4007"/>
      <c r="AG87" s="2827"/>
      <c r="AH87" s="4007"/>
      <c r="AI87" s="2827"/>
      <c r="AJ87" s="4007"/>
      <c r="AK87" s="2827"/>
      <c r="AL87" s="4007"/>
      <c r="AM87" s="2827"/>
      <c r="AN87" s="4007"/>
      <c r="AO87" s="2827"/>
      <c r="AP87" s="4007"/>
      <c r="AQ87" s="2827"/>
      <c r="AR87" s="4007"/>
      <c r="AS87" s="2827"/>
      <c r="AT87" s="4007"/>
      <c r="AU87" s="2827"/>
      <c r="AV87" s="4007"/>
      <c r="AW87" s="2827"/>
      <c r="AX87" s="4007"/>
      <c r="AY87" s="2827"/>
      <c r="AZ87" s="4007"/>
      <c r="BA87" s="4619"/>
      <c r="BB87" s="4619"/>
      <c r="BC87" s="3234"/>
      <c r="BD87" s="4007"/>
      <c r="BE87" s="4007"/>
      <c r="BF87" s="3081"/>
      <c r="BG87" s="2579"/>
      <c r="BH87" s="3081"/>
      <c r="BI87" s="4640"/>
      <c r="BJ87" s="4607"/>
    </row>
    <row r="88" spans="1:68" ht="256.5" customHeight="1" x14ac:dyDescent="0.2">
      <c r="A88" s="924"/>
      <c r="B88" s="931"/>
      <c r="C88" s="689"/>
      <c r="D88" s="689"/>
      <c r="E88" s="689"/>
      <c r="F88" s="932"/>
      <c r="G88" s="931"/>
      <c r="H88" s="689"/>
      <c r="I88" s="932"/>
      <c r="J88" s="2723"/>
      <c r="K88" s="3055"/>
      <c r="L88" s="2708"/>
      <c r="M88" s="2708"/>
      <c r="N88" s="2822"/>
      <c r="O88" s="2987"/>
      <c r="P88" s="2601"/>
      <c r="Q88" s="3055"/>
      <c r="R88" s="3234"/>
      <c r="S88" s="4615"/>
      <c r="T88" s="2987"/>
      <c r="U88" s="3055"/>
      <c r="V88" s="2386" t="s">
        <v>1892</v>
      </c>
      <c r="W88" s="956">
        <v>20000000</v>
      </c>
      <c r="X88" s="930">
        <v>8750000</v>
      </c>
      <c r="Y88" s="930">
        <v>8750000</v>
      </c>
      <c r="Z88" s="4007"/>
      <c r="AA88" s="3055"/>
      <c r="AB88" s="4007"/>
      <c r="AC88" s="2827"/>
      <c r="AD88" s="4007"/>
      <c r="AE88" s="2827"/>
      <c r="AF88" s="4007"/>
      <c r="AG88" s="2827"/>
      <c r="AH88" s="4007"/>
      <c r="AI88" s="2827"/>
      <c r="AJ88" s="4007"/>
      <c r="AK88" s="2827"/>
      <c r="AL88" s="4007"/>
      <c r="AM88" s="2827"/>
      <c r="AN88" s="4007"/>
      <c r="AO88" s="2827"/>
      <c r="AP88" s="4007"/>
      <c r="AQ88" s="2827"/>
      <c r="AR88" s="4007"/>
      <c r="AS88" s="2827"/>
      <c r="AT88" s="4007"/>
      <c r="AU88" s="2827"/>
      <c r="AV88" s="4007"/>
      <c r="AW88" s="2827"/>
      <c r="AX88" s="4007"/>
      <c r="AY88" s="2827"/>
      <c r="AZ88" s="4007"/>
      <c r="BA88" s="4619"/>
      <c r="BB88" s="4619"/>
      <c r="BC88" s="3234"/>
      <c r="BD88" s="4007"/>
      <c r="BE88" s="4007"/>
      <c r="BF88" s="3081"/>
      <c r="BG88" s="2579"/>
      <c r="BH88" s="3081"/>
      <c r="BI88" s="4640"/>
      <c r="BJ88" s="4607"/>
    </row>
    <row r="89" spans="1:68" ht="216" customHeight="1" x14ac:dyDescent="0.2">
      <c r="A89" s="924"/>
      <c r="B89" s="931"/>
      <c r="C89" s="689"/>
      <c r="D89" s="689"/>
      <c r="E89" s="689"/>
      <c r="F89" s="932"/>
      <c r="G89" s="931"/>
      <c r="H89" s="689"/>
      <c r="I89" s="932"/>
      <c r="J89" s="2723"/>
      <c r="K89" s="3055"/>
      <c r="L89" s="2708"/>
      <c r="M89" s="2708"/>
      <c r="N89" s="2822"/>
      <c r="O89" s="2987"/>
      <c r="P89" s="2601"/>
      <c r="Q89" s="3055"/>
      <c r="R89" s="3234"/>
      <c r="S89" s="4615"/>
      <c r="T89" s="2987"/>
      <c r="U89" s="3055"/>
      <c r="V89" s="2386" t="s">
        <v>1893</v>
      </c>
      <c r="W89" s="956">
        <v>16200000</v>
      </c>
      <c r="X89" s="930">
        <v>16200000</v>
      </c>
      <c r="Y89" s="930">
        <v>16200000</v>
      </c>
      <c r="Z89" s="4007"/>
      <c r="AA89" s="3055"/>
      <c r="AB89" s="4007"/>
      <c r="AC89" s="2827"/>
      <c r="AD89" s="4007"/>
      <c r="AE89" s="2827"/>
      <c r="AF89" s="4007"/>
      <c r="AG89" s="2827"/>
      <c r="AH89" s="4007"/>
      <c r="AI89" s="2827"/>
      <c r="AJ89" s="4007"/>
      <c r="AK89" s="2827"/>
      <c r="AL89" s="4007"/>
      <c r="AM89" s="2827"/>
      <c r="AN89" s="4007"/>
      <c r="AO89" s="2827"/>
      <c r="AP89" s="4007"/>
      <c r="AQ89" s="2827"/>
      <c r="AR89" s="4007"/>
      <c r="AS89" s="2827"/>
      <c r="AT89" s="4007"/>
      <c r="AU89" s="2827"/>
      <c r="AV89" s="4007"/>
      <c r="AW89" s="2827"/>
      <c r="AX89" s="4007"/>
      <c r="AY89" s="2827"/>
      <c r="AZ89" s="4007"/>
      <c r="BA89" s="4619"/>
      <c r="BB89" s="4619"/>
      <c r="BC89" s="3234"/>
      <c r="BD89" s="4007"/>
      <c r="BE89" s="4007"/>
      <c r="BF89" s="3081"/>
      <c r="BG89" s="2579"/>
      <c r="BH89" s="3081"/>
      <c r="BI89" s="4640"/>
      <c r="BJ89" s="4607"/>
    </row>
    <row r="90" spans="1:68" ht="158.25" customHeight="1" x14ac:dyDescent="0.2">
      <c r="A90" s="924"/>
      <c r="B90" s="931"/>
      <c r="C90" s="689"/>
      <c r="D90" s="689"/>
      <c r="E90" s="689"/>
      <c r="F90" s="932"/>
      <c r="G90" s="931"/>
      <c r="H90" s="689"/>
      <c r="I90" s="932"/>
      <c r="J90" s="2723"/>
      <c r="K90" s="3055"/>
      <c r="L90" s="2708"/>
      <c r="M90" s="2708"/>
      <c r="N90" s="2822"/>
      <c r="O90" s="2987"/>
      <c r="P90" s="2601"/>
      <c r="Q90" s="3055"/>
      <c r="R90" s="3234"/>
      <c r="S90" s="4615"/>
      <c r="T90" s="2987"/>
      <c r="U90" s="3055"/>
      <c r="V90" s="2123" t="s">
        <v>1894</v>
      </c>
      <c r="W90" s="956">
        <v>7200000</v>
      </c>
      <c r="X90" s="930">
        <v>11200000</v>
      </c>
      <c r="Y90" s="930">
        <v>11200000</v>
      </c>
      <c r="Z90" s="4007"/>
      <c r="AA90" s="3055"/>
      <c r="AB90" s="4007"/>
      <c r="AC90" s="2827"/>
      <c r="AD90" s="4007"/>
      <c r="AE90" s="2827"/>
      <c r="AF90" s="4007"/>
      <c r="AG90" s="2827"/>
      <c r="AH90" s="4007"/>
      <c r="AI90" s="2827"/>
      <c r="AJ90" s="4007"/>
      <c r="AK90" s="2827"/>
      <c r="AL90" s="4007"/>
      <c r="AM90" s="2827"/>
      <c r="AN90" s="4007"/>
      <c r="AO90" s="2827"/>
      <c r="AP90" s="4007"/>
      <c r="AQ90" s="2827"/>
      <c r="AR90" s="4007"/>
      <c r="AS90" s="2827"/>
      <c r="AT90" s="4007"/>
      <c r="AU90" s="2827"/>
      <c r="AV90" s="4007"/>
      <c r="AW90" s="2827"/>
      <c r="AX90" s="4007"/>
      <c r="AY90" s="2827"/>
      <c r="AZ90" s="4007"/>
      <c r="BA90" s="4619"/>
      <c r="BB90" s="4619"/>
      <c r="BC90" s="3234"/>
      <c r="BD90" s="4007"/>
      <c r="BE90" s="4007"/>
      <c r="BF90" s="3081"/>
      <c r="BG90" s="2579"/>
      <c r="BH90" s="3081"/>
      <c r="BI90" s="4640"/>
      <c r="BJ90" s="4607"/>
    </row>
    <row r="91" spans="1:68" ht="171" customHeight="1" x14ac:dyDescent="0.2">
      <c r="A91" s="924"/>
      <c r="B91" s="931"/>
      <c r="C91" s="689"/>
      <c r="D91" s="689"/>
      <c r="E91" s="689"/>
      <c r="F91" s="932"/>
      <c r="G91" s="931"/>
      <c r="H91" s="689"/>
      <c r="I91" s="932"/>
      <c r="J91" s="2723"/>
      <c r="K91" s="3055"/>
      <c r="L91" s="2708"/>
      <c r="M91" s="2708"/>
      <c r="N91" s="2822"/>
      <c r="O91" s="2987"/>
      <c r="P91" s="2601"/>
      <c r="Q91" s="3055"/>
      <c r="R91" s="3234"/>
      <c r="S91" s="4615"/>
      <c r="T91" s="2987"/>
      <c r="U91" s="3055"/>
      <c r="V91" s="2123" t="s">
        <v>1894</v>
      </c>
      <c r="W91" s="956">
        <v>7200000</v>
      </c>
      <c r="X91" s="930">
        <v>12000000</v>
      </c>
      <c r="Y91" s="930">
        <v>12000000</v>
      </c>
      <c r="Z91" s="4007"/>
      <c r="AA91" s="3055"/>
      <c r="AB91" s="4007"/>
      <c r="AC91" s="2827"/>
      <c r="AD91" s="4007"/>
      <c r="AE91" s="2827"/>
      <c r="AF91" s="4007"/>
      <c r="AG91" s="2827"/>
      <c r="AH91" s="4007"/>
      <c r="AI91" s="2827"/>
      <c r="AJ91" s="4007"/>
      <c r="AK91" s="2827"/>
      <c r="AL91" s="4007"/>
      <c r="AM91" s="2827"/>
      <c r="AN91" s="4007"/>
      <c r="AO91" s="2827"/>
      <c r="AP91" s="4007"/>
      <c r="AQ91" s="2827"/>
      <c r="AR91" s="4007"/>
      <c r="AS91" s="2827"/>
      <c r="AT91" s="4007"/>
      <c r="AU91" s="2827"/>
      <c r="AV91" s="4007"/>
      <c r="AW91" s="2827"/>
      <c r="AX91" s="4007"/>
      <c r="AY91" s="2827"/>
      <c r="AZ91" s="4007"/>
      <c r="BA91" s="4619"/>
      <c r="BB91" s="4619"/>
      <c r="BC91" s="3234"/>
      <c r="BD91" s="4007"/>
      <c r="BE91" s="4007"/>
      <c r="BF91" s="3081"/>
      <c r="BG91" s="2579"/>
      <c r="BH91" s="3081"/>
      <c r="BI91" s="4640"/>
      <c r="BJ91" s="4607"/>
    </row>
    <row r="92" spans="1:68" ht="138" customHeight="1" x14ac:dyDescent="0.2">
      <c r="A92" s="924"/>
      <c r="B92" s="931"/>
      <c r="C92" s="689"/>
      <c r="D92" s="689"/>
      <c r="E92" s="689"/>
      <c r="F92" s="932"/>
      <c r="G92" s="931"/>
      <c r="H92" s="689"/>
      <c r="I92" s="932"/>
      <c r="J92" s="2723"/>
      <c r="K92" s="3055"/>
      <c r="L92" s="2708"/>
      <c r="M92" s="2708"/>
      <c r="N92" s="2822"/>
      <c r="O92" s="2987"/>
      <c r="P92" s="2601"/>
      <c r="Q92" s="3055"/>
      <c r="R92" s="3234"/>
      <c r="S92" s="4615"/>
      <c r="T92" s="2987"/>
      <c r="U92" s="3055"/>
      <c r="V92" s="2386" t="s">
        <v>1895</v>
      </c>
      <c r="W92" s="956">
        <v>20000000</v>
      </c>
      <c r="X92" s="930">
        <v>20000000</v>
      </c>
      <c r="Y92" s="930">
        <v>20000000</v>
      </c>
      <c r="Z92" s="4007"/>
      <c r="AA92" s="3055"/>
      <c r="AB92" s="4007"/>
      <c r="AC92" s="2827"/>
      <c r="AD92" s="4007"/>
      <c r="AE92" s="2827"/>
      <c r="AF92" s="4007"/>
      <c r="AG92" s="2827"/>
      <c r="AH92" s="4007"/>
      <c r="AI92" s="2827"/>
      <c r="AJ92" s="4007"/>
      <c r="AK92" s="2827"/>
      <c r="AL92" s="4007"/>
      <c r="AM92" s="2827"/>
      <c r="AN92" s="4007"/>
      <c r="AO92" s="2827"/>
      <c r="AP92" s="4007"/>
      <c r="AQ92" s="2827"/>
      <c r="AR92" s="4007"/>
      <c r="AS92" s="2827"/>
      <c r="AT92" s="4007"/>
      <c r="AU92" s="2827"/>
      <c r="AV92" s="4007"/>
      <c r="AW92" s="2827"/>
      <c r="AX92" s="4007"/>
      <c r="AY92" s="2827"/>
      <c r="AZ92" s="4007"/>
      <c r="BA92" s="4619"/>
      <c r="BB92" s="4619"/>
      <c r="BC92" s="3234"/>
      <c r="BD92" s="4007"/>
      <c r="BE92" s="4007"/>
      <c r="BF92" s="3081"/>
      <c r="BG92" s="2579"/>
      <c r="BH92" s="3081"/>
      <c r="BI92" s="4640"/>
      <c r="BJ92" s="4607"/>
    </row>
    <row r="93" spans="1:68" ht="217.5" customHeight="1" x14ac:dyDescent="0.2">
      <c r="A93" s="924"/>
      <c r="B93" s="931"/>
      <c r="C93" s="689"/>
      <c r="D93" s="689"/>
      <c r="E93" s="689"/>
      <c r="F93" s="932"/>
      <c r="G93" s="931"/>
      <c r="H93" s="689"/>
      <c r="I93" s="932"/>
      <c r="J93" s="2723"/>
      <c r="K93" s="3055"/>
      <c r="L93" s="2708"/>
      <c r="M93" s="2708"/>
      <c r="N93" s="2822"/>
      <c r="O93" s="2987"/>
      <c r="P93" s="2601"/>
      <c r="Q93" s="3055"/>
      <c r="R93" s="3234"/>
      <c r="S93" s="4615"/>
      <c r="T93" s="2987"/>
      <c r="U93" s="3055"/>
      <c r="V93" s="2199" t="s">
        <v>1896</v>
      </c>
      <c r="W93" s="956">
        <v>20000000</v>
      </c>
      <c r="X93" s="930">
        <v>20000000</v>
      </c>
      <c r="Y93" s="930">
        <v>20000000</v>
      </c>
      <c r="Z93" s="4007"/>
      <c r="AA93" s="3055"/>
      <c r="AB93" s="4007"/>
      <c r="AC93" s="2827"/>
      <c r="AD93" s="4007"/>
      <c r="AE93" s="2827"/>
      <c r="AF93" s="4007"/>
      <c r="AG93" s="2827"/>
      <c r="AH93" s="4007"/>
      <c r="AI93" s="2827"/>
      <c r="AJ93" s="4007"/>
      <c r="AK93" s="2827"/>
      <c r="AL93" s="4007"/>
      <c r="AM93" s="2827"/>
      <c r="AN93" s="4007"/>
      <c r="AO93" s="2827"/>
      <c r="AP93" s="4007"/>
      <c r="AQ93" s="2827"/>
      <c r="AR93" s="4007"/>
      <c r="AS93" s="2827"/>
      <c r="AT93" s="4007"/>
      <c r="AU93" s="2827"/>
      <c r="AV93" s="4007"/>
      <c r="AW93" s="2827"/>
      <c r="AX93" s="4007"/>
      <c r="AY93" s="2827"/>
      <c r="AZ93" s="4007"/>
      <c r="BA93" s="4619"/>
      <c r="BB93" s="4619"/>
      <c r="BC93" s="3234"/>
      <c r="BD93" s="4007"/>
      <c r="BE93" s="4007"/>
      <c r="BF93" s="3081"/>
      <c r="BG93" s="2579"/>
      <c r="BH93" s="3081"/>
      <c r="BI93" s="4640"/>
      <c r="BJ93" s="4607"/>
    </row>
    <row r="94" spans="1:68" ht="117" customHeight="1" x14ac:dyDescent="0.2">
      <c r="A94" s="924"/>
      <c r="B94" s="936"/>
      <c r="C94" s="937"/>
      <c r="D94" s="937"/>
      <c r="E94" s="937"/>
      <c r="F94" s="938"/>
      <c r="G94" s="936"/>
      <c r="H94" s="937"/>
      <c r="I94" s="938"/>
      <c r="J94" s="2723"/>
      <c r="K94" s="3056"/>
      <c r="L94" s="2709"/>
      <c r="M94" s="2709"/>
      <c r="N94" s="2823"/>
      <c r="O94" s="2988"/>
      <c r="P94" s="2636"/>
      <c r="Q94" s="3056"/>
      <c r="R94" s="3099"/>
      <c r="S94" s="4614"/>
      <c r="T94" s="2988"/>
      <c r="U94" s="3056"/>
      <c r="V94" s="2386" t="s">
        <v>1897</v>
      </c>
      <c r="W94" s="956">
        <v>64640114</v>
      </c>
      <c r="X94" s="930">
        <v>29900000</v>
      </c>
      <c r="Y94" s="930">
        <v>29900000</v>
      </c>
      <c r="Z94" s="3091"/>
      <c r="AA94" s="3056"/>
      <c r="AB94" s="3091"/>
      <c r="AC94" s="2862"/>
      <c r="AD94" s="3091"/>
      <c r="AE94" s="2862"/>
      <c r="AF94" s="3091"/>
      <c r="AG94" s="2862"/>
      <c r="AH94" s="3091"/>
      <c r="AI94" s="2862"/>
      <c r="AJ94" s="3091"/>
      <c r="AK94" s="2862"/>
      <c r="AL94" s="3091"/>
      <c r="AM94" s="2862"/>
      <c r="AN94" s="3091"/>
      <c r="AO94" s="2862"/>
      <c r="AP94" s="3091"/>
      <c r="AQ94" s="2862"/>
      <c r="AR94" s="3091"/>
      <c r="AS94" s="2862"/>
      <c r="AT94" s="3091"/>
      <c r="AU94" s="2862"/>
      <c r="AV94" s="3091"/>
      <c r="AW94" s="2862"/>
      <c r="AX94" s="3091"/>
      <c r="AY94" s="2862"/>
      <c r="AZ94" s="3091"/>
      <c r="BA94" s="4612"/>
      <c r="BB94" s="4612"/>
      <c r="BC94" s="3099"/>
      <c r="BD94" s="3091"/>
      <c r="BE94" s="3091"/>
      <c r="BF94" s="3082"/>
      <c r="BG94" s="2580"/>
      <c r="BH94" s="3082"/>
      <c r="BI94" s="4641"/>
      <c r="BJ94" s="4607"/>
    </row>
    <row r="95" spans="1:68" ht="30.75" customHeight="1" x14ac:dyDescent="0.2">
      <c r="A95" s="916"/>
      <c r="B95" s="1020">
        <v>13</v>
      </c>
      <c r="C95" s="1021" t="s">
        <v>1898</v>
      </c>
      <c r="D95" s="1021"/>
      <c r="E95" s="1021"/>
      <c r="F95" s="1021"/>
      <c r="G95" s="1021"/>
      <c r="H95" s="1021"/>
      <c r="I95" s="1021"/>
      <c r="J95" s="2073"/>
      <c r="K95" s="1022"/>
      <c r="L95" s="1023"/>
      <c r="M95" s="1023"/>
      <c r="N95" s="1024"/>
      <c r="O95" s="1022"/>
      <c r="P95" s="1023"/>
      <c r="Q95" s="1022"/>
      <c r="R95" s="1023"/>
      <c r="S95" s="1025"/>
      <c r="T95" s="1022"/>
      <c r="U95" s="1022"/>
      <c r="V95" s="1026"/>
      <c r="W95" s="1027"/>
      <c r="X95" s="1028"/>
      <c r="Y95" s="1028"/>
      <c r="Z95" s="1029"/>
      <c r="AA95" s="1030"/>
      <c r="AB95" s="1022"/>
      <c r="AC95" s="1031"/>
      <c r="AD95" s="1022"/>
      <c r="AE95" s="1032"/>
      <c r="AF95" s="1022"/>
      <c r="AG95" s="1032"/>
      <c r="AH95" s="1022"/>
      <c r="AI95" s="1032"/>
      <c r="AJ95" s="1022"/>
      <c r="AK95" s="1032"/>
      <c r="AL95" s="1022"/>
      <c r="AM95" s="1033"/>
      <c r="AN95" s="1022"/>
      <c r="AO95" s="1033"/>
      <c r="AP95" s="1022"/>
      <c r="AQ95" s="1032"/>
      <c r="AR95" s="1022"/>
      <c r="AS95" s="1032"/>
      <c r="AT95" s="1022"/>
      <c r="AU95" s="1032"/>
      <c r="AV95" s="1022"/>
      <c r="AW95" s="1032"/>
      <c r="AX95" s="1022"/>
      <c r="AY95" s="1032"/>
      <c r="AZ95" s="1022"/>
      <c r="BA95" s="1558"/>
      <c r="BB95" s="1558"/>
      <c r="BC95" s="1034"/>
      <c r="BD95" s="1022"/>
      <c r="BE95" s="1022"/>
      <c r="BF95" s="1022"/>
      <c r="BG95" s="1032"/>
      <c r="BH95" s="1021"/>
      <c r="BI95" s="287"/>
      <c r="BJ95" s="666"/>
      <c r="BK95" s="1"/>
      <c r="BL95" s="1"/>
      <c r="BM95" s="1"/>
      <c r="BN95" s="1"/>
      <c r="BO95" s="1"/>
      <c r="BP95" s="1"/>
    </row>
    <row r="96" spans="1:68" ht="33.75" customHeight="1" x14ac:dyDescent="0.2">
      <c r="A96" s="916"/>
      <c r="B96" s="917"/>
      <c r="C96" s="918"/>
      <c r="D96" s="918"/>
      <c r="E96" s="918"/>
      <c r="F96" s="919"/>
      <c r="G96" s="920">
        <v>47</v>
      </c>
      <c r="H96" s="50" t="s">
        <v>1899</v>
      </c>
      <c r="I96" s="50"/>
      <c r="J96" s="1376"/>
      <c r="K96" s="412"/>
      <c r="L96" s="2520"/>
      <c r="M96" s="2520"/>
      <c r="N96" s="643"/>
      <c r="O96" s="412"/>
      <c r="P96" s="2520"/>
      <c r="Q96" s="412"/>
      <c r="R96" s="2520"/>
      <c r="S96" s="412"/>
      <c r="T96" s="412"/>
      <c r="U96" s="412"/>
      <c r="V96" s="412"/>
      <c r="W96" s="412"/>
      <c r="X96" s="921"/>
      <c r="Y96" s="1035"/>
      <c r="Z96" s="2519"/>
      <c r="AA96" s="412"/>
      <c r="AB96" s="412"/>
      <c r="AC96" s="921"/>
      <c r="AD96" s="412"/>
      <c r="AE96" s="921"/>
      <c r="AF96" s="412"/>
      <c r="AG96" s="921"/>
      <c r="AH96" s="412"/>
      <c r="AI96" s="921"/>
      <c r="AJ96" s="412"/>
      <c r="AK96" s="921"/>
      <c r="AL96" s="412"/>
      <c r="AM96" s="921"/>
      <c r="AN96" s="412"/>
      <c r="AO96" s="921"/>
      <c r="AP96" s="412"/>
      <c r="AQ96" s="921"/>
      <c r="AR96" s="412"/>
      <c r="AS96" s="921"/>
      <c r="AT96" s="412"/>
      <c r="AU96" s="921"/>
      <c r="AV96" s="412"/>
      <c r="AW96" s="921"/>
      <c r="AX96" s="412"/>
      <c r="AY96" s="921"/>
      <c r="AZ96" s="412"/>
      <c r="BA96" s="1553"/>
      <c r="BB96" s="1553"/>
      <c r="BC96" s="943"/>
      <c r="BD96" s="412"/>
      <c r="BE96" s="412"/>
      <c r="BF96" s="412"/>
      <c r="BG96" s="921"/>
      <c r="BH96" s="50"/>
      <c r="BI96" s="411"/>
      <c r="BJ96" s="657"/>
      <c r="BK96" s="1"/>
      <c r="BL96" s="1"/>
      <c r="BM96" s="1"/>
      <c r="BN96" s="1"/>
      <c r="BO96" s="1"/>
      <c r="BP96" s="1"/>
    </row>
    <row r="97" spans="1:79" ht="78.75" customHeight="1" x14ac:dyDescent="0.2">
      <c r="A97" s="916"/>
      <c r="B97" s="925"/>
      <c r="C97" s="519"/>
      <c r="D97" s="519"/>
      <c r="E97" s="519"/>
      <c r="F97" s="926"/>
      <c r="G97" s="4635"/>
      <c r="H97" s="4636"/>
      <c r="I97" s="4637"/>
      <c r="J97" s="2518">
        <v>163</v>
      </c>
      <c r="K97" s="2386" t="s">
        <v>1900</v>
      </c>
      <c r="L97" s="2116" t="s">
        <v>146</v>
      </c>
      <c r="M97" s="2517">
        <v>12</v>
      </c>
      <c r="N97" s="2485">
        <v>12</v>
      </c>
      <c r="O97" s="2600" t="s">
        <v>1901</v>
      </c>
      <c r="P97" s="2600">
        <v>153</v>
      </c>
      <c r="Q97" s="3980" t="s">
        <v>1902</v>
      </c>
      <c r="R97" s="1036">
        <f>W97/S97</f>
        <v>1.6779455349113645E-3</v>
      </c>
      <c r="S97" s="4638">
        <v>16806266600</v>
      </c>
      <c r="T97" s="2604" t="s">
        <v>1903</v>
      </c>
      <c r="U97" s="1037" t="s">
        <v>1904</v>
      </c>
      <c r="V97" s="1038" t="s">
        <v>1905</v>
      </c>
      <c r="W97" s="997">
        <v>28200000</v>
      </c>
      <c r="X97" s="930">
        <v>8167000</v>
      </c>
      <c r="Y97" s="930">
        <v>8167000</v>
      </c>
      <c r="Z97" s="2107"/>
      <c r="AA97" s="2196" t="s">
        <v>1906</v>
      </c>
      <c r="AB97" s="3090">
        <v>1407</v>
      </c>
      <c r="AC97" s="2826">
        <f>SUM(AB97*0.86)</f>
        <v>1210.02</v>
      </c>
      <c r="AD97" s="3090">
        <v>4100</v>
      </c>
      <c r="AE97" s="2826">
        <f>SUM(AD97*0.86)</f>
        <v>3526</v>
      </c>
      <c r="AF97" s="3090">
        <v>1830</v>
      </c>
      <c r="AG97" s="2826">
        <f>SUM(AF97*0.86)</f>
        <v>1573.8</v>
      </c>
      <c r="AH97" s="3090">
        <v>9269</v>
      </c>
      <c r="AI97" s="2826">
        <f>SUM(AH97*0.86)</f>
        <v>7971.34</v>
      </c>
      <c r="AJ97" s="3090">
        <v>2750</v>
      </c>
      <c r="AK97" s="2826">
        <f>SUM(AJ97*0.86)</f>
        <v>2365</v>
      </c>
      <c r="AL97" s="3090">
        <v>1100</v>
      </c>
      <c r="AM97" s="2826">
        <f>SUM(AL97*0.86)</f>
        <v>946</v>
      </c>
      <c r="AN97" s="3090">
        <v>13208</v>
      </c>
      <c r="AO97" s="2826">
        <f>SUM(AN97*0.86)</f>
        <v>11358.88</v>
      </c>
      <c r="AP97" s="3090">
        <v>2145</v>
      </c>
      <c r="AQ97" s="2826">
        <f>SUM(AP97*0.86)</f>
        <v>1844.7</v>
      </c>
      <c r="AR97" s="3090">
        <v>413</v>
      </c>
      <c r="AS97" s="2826">
        <f>SUM(AR97*0.86)</f>
        <v>355.18</v>
      </c>
      <c r="AT97" s="3090">
        <v>520</v>
      </c>
      <c r="AU97" s="2826">
        <f>SUM(AT97*0.86)</f>
        <v>447.2</v>
      </c>
      <c r="AV97" s="3090">
        <v>16897</v>
      </c>
      <c r="AW97" s="2826">
        <f>SUM(AV97*0.86)</f>
        <v>14531.42</v>
      </c>
      <c r="AX97" s="3090">
        <v>75612</v>
      </c>
      <c r="AY97" s="2826">
        <f>SUM(AX97*0.86)</f>
        <v>65026.32</v>
      </c>
      <c r="AZ97" s="3090">
        <v>19</v>
      </c>
      <c r="BA97" s="4608">
        <f>SUM(X97+X99+X101)</f>
        <v>14508774066</v>
      </c>
      <c r="BB97" s="4608">
        <f>SUM(Y97+Y99+Y101)</f>
        <v>14508774066</v>
      </c>
      <c r="BC97" s="3098">
        <f>BB97/BA97</f>
        <v>1</v>
      </c>
      <c r="BD97" s="3090" t="s">
        <v>1907</v>
      </c>
      <c r="BE97" s="3090" t="s">
        <v>1908</v>
      </c>
      <c r="BF97" s="4647">
        <v>42583</v>
      </c>
      <c r="BG97" s="4648">
        <v>42583</v>
      </c>
      <c r="BH97" s="4647">
        <v>42735</v>
      </c>
      <c r="BI97" s="4649">
        <v>42735</v>
      </c>
      <c r="BJ97" s="4607" t="s">
        <v>1687</v>
      </c>
    </row>
    <row r="98" spans="1:79" ht="36" customHeight="1" x14ac:dyDescent="0.2">
      <c r="A98" s="916"/>
      <c r="B98" s="925"/>
      <c r="C98" s="519"/>
      <c r="D98" s="519"/>
      <c r="E98" s="519"/>
      <c r="F98" s="926"/>
      <c r="G98" s="920">
        <v>48</v>
      </c>
      <c r="H98" s="50" t="s">
        <v>1909</v>
      </c>
      <c r="I98" s="50"/>
      <c r="J98" s="1376"/>
      <c r="K98" s="412"/>
      <c r="L98" s="2520"/>
      <c r="M98" s="2520"/>
      <c r="N98" s="1039"/>
      <c r="O98" s="2601"/>
      <c r="P98" s="2601"/>
      <c r="Q98" s="3980"/>
      <c r="R98" s="2520"/>
      <c r="S98" s="4638"/>
      <c r="T98" s="2604"/>
      <c r="U98" s="412"/>
      <c r="V98" s="412"/>
      <c r="W98" s="412"/>
      <c r="X98" s="921"/>
      <c r="Y98" s="921"/>
      <c r="Z98" s="2520"/>
      <c r="AA98" s="412"/>
      <c r="AB98" s="4007"/>
      <c r="AC98" s="2827"/>
      <c r="AD98" s="4007"/>
      <c r="AE98" s="2827"/>
      <c r="AF98" s="4007"/>
      <c r="AG98" s="2827"/>
      <c r="AH98" s="4007"/>
      <c r="AI98" s="2827"/>
      <c r="AJ98" s="4007"/>
      <c r="AK98" s="2827"/>
      <c r="AL98" s="4007"/>
      <c r="AM98" s="2827"/>
      <c r="AN98" s="4007"/>
      <c r="AO98" s="2827"/>
      <c r="AP98" s="4007"/>
      <c r="AQ98" s="2827"/>
      <c r="AR98" s="4007"/>
      <c r="AS98" s="2827"/>
      <c r="AT98" s="4007"/>
      <c r="AU98" s="2827"/>
      <c r="AV98" s="4007"/>
      <c r="AW98" s="2827"/>
      <c r="AX98" s="4007"/>
      <c r="AY98" s="2827"/>
      <c r="AZ98" s="4007"/>
      <c r="BA98" s="4609"/>
      <c r="BB98" s="4609"/>
      <c r="BC98" s="3234"/>
      <c r="BD98" s="4007"/>
      <c r="BE98" s="4007"/>
      <c r="BF98" s="4647"/>
      <c r="BG98" s="4648"/>
      <c r="BH98" s="4647"/>
      <c r="BI98" s="4649"/>
      <c r="BJ98" s="4607"/>
      <c r="BK98" s="1"/>
      <c r="BL98" s="1"/>
      <c r="BM98" s="1"/>
      <c r="BN98" s="1"/>
      <c r="BO98" s="1"/>
      <c r="BP98" s="1"/>
    </row>
    <row r="99" spans="1:79" ht="177.75" customHeight="1" x14ac:dyDescent="0.2">
      <c r="A99" s="916"/>
      <c r="B99" s="925"/>
      <c r="C99" s="519"/>
      <c r="D99" s="519"/>
      <c r="E99" s="519"/>
      <c r="F99" s="926"/>
      <c r="G99" s="4635"/>
      <c r="H99" s="4636"/>
      <c r="I99" s="4637"/>
      <c r="J99" s="2518">
        <v>164</v>
      </c>
      <c r="K99" s="2386" t="s">
        <v>1910</v>
      </c>
      <c r="L99" s="2116" t="s">
        <v>146</v>
      </c>
      <c r="M99" s="2517">
        <v>12</v>
      </c>
      <c r="N99" s="2485">
        <v>12</v>
      </c>
      <c r="O99" s="2601"/>
      <c r="P99" s="2601"/>
      <c r="Q99" s="3980"/>
      <c r="R99" s="1036">
        <f>W99/S97</f>
        <v>0.99711393367995249</v>
      </c>
      <c r="S99" s="4638"/>
      <c r="T99" s="2604"/>
      <c r="U99" s="1037" t="s">
        <v>1911</v>
      </c>
      <c r="V99" s="1037" t="s">
        <v>1912</v>
      </c>
      <c r="W99" s="997">
        <v>16757762600</v>
      </c>
      <c r="X99" s="930">
        <v>14490707066</v>
      </c>
      <c r="Y99" s="930">
        <v>14490707066</v>
      </c>
      <c r="Z99" s="2107" t="s">
        <v>1907</v>
      </c>
      <c r="AA99" s="2129" t="s">
        <v>1913</v>
      </c>
      <c r="AB99" s="4007"/>
      <c r="AC99" s="2827"/>
      <c r="AD99" s="4007"/>
      <c r="AE99" s="2827"/>
      <c r="AF99" s="4007"/>
      <c r="AG99" s="2827"/>
      <c r="AH99" s="4007"/>
      <c r="AI99" s="2827"/>
      <c r="AJ99" s="4007"/>
      <c r="AK99" s="2827"/>
      <c r="AL99" s="4007"/>
      <c r="AM99" s="2827"/>
      <c r="AN99" s="4007"/>
      <c r="AO99" s="2827"/>
      <c r="AP99" s="4007"/>
      <c r="AQ99" s="2827"/>
      <c r="AR99" s="4007"/>
      <c r="AS99" s="2827"/>
      <c r="AT99" s="4007"/>
      <c r="AU99" s="2827"/>
      <c r="AV99" s="4007"/>
      <c r="AW99" s="2827"/>
      <c r="AX99" s="4007"/>
      <c r="AY99" s="2827"/>
      <c r="AZ99" s="4007"/>
      <c r="BA99" s="4609"/>
      <c r="BB99" s="4609"/>
      <c r="BC99" s="3234"/>
      <c r="BD99" s="4007"/>
      <c r="BE99" s="4007"/>
      <c r="BF99" s="4647"/>
      <c r="BG99" s="4648"/>
      <c r="BH99" s="4647"/>
      <c r="BI99" s="4649"/>
      <c r="BJ99" s="4607"/>
    </row>
    <row r="100" spans="1:79" ht="31.5" customHeight="1" x14ac:dyDescent="0.2">
      <c r="A100" s="916"/>
      <c r="B100" s="925"/>
      <c r="C100" s="519"/>
      <c r="D100" s="519"/>
      <c r="E100" s="519"/>
      <c r="F100" s="926"/>
      <c r="G100" s="920">
        <v>49</v>
      </c>
      <c r="H100" s="50" t="s">
        <v>1914</v>
      </c>
      <c r="I100" s="50"/>
      <c r="J100" s="1376"/>
      <c r="K100" s="412"/>
      <c r="L100" s="2520"/>
      <c r="M100" s="2520"/>
      <c r="N100" s="643"/>
      <c r="O100" s="2601"/>
      <c r="P100" s="2601"/>
      <c r="Q100" s="3980"/>
      <c r="R100" s="2520"/>
      <c r="S100" s="4638"/>
      <c r="T100" s="2604"/>
      <c r="U100" s="412"/>
      <c r="V100" s="412"/>
      <c r="W100" s="946"/>
      <c r="X100" s="921"/>
      <c r="Y100" s="921"/>
      <c r="Z100" s="2520"/>
      <c r="AA100" s="412"/>
      <c r="AB100" s="4007"/>
      <c r="AC100" s="2827"/>
      <c r="AD100" s="4007"/>
      <c r="AE100" s="2827"/>
      <c r="AF100" s="4007"/>
      <c r="AG100" s="2827"/>
      <c r="AH100" s="4007"/>
      <c r="AI100" s="2827"/>
      <c r="AJ100" s="4007"/>
      <c r="AK100" s="2827"/>
      <c r="AL100" s="4007"/>
      <c r="AM100" s="2827"/>
      <c r="AN100" s="4007"/>
      <c r="AO100" s="2827"/>
      <c r="AP100" s="4007"/>
      <c r="AQ100" s="2827"/>
      <c r="AR100" s="4007"/>
      <c r="AS100" s="2827"/>
      <c r="AT100" s="4007"/>
      <c r="AU100" s="2827"/>
      <c r="AV100" s="4007"/>
      <c r="AW100" s="2827"/>
      <c r="AX100" s="4007"/>
      <c r="AY100" s="2827"/>
      <c r="AZ100" s="4007"/>
      <c r="BA100" s="4609"/>
      <c r="BB100" s="4609"/>
      <c r="BC100" s="3234"/>
      <c r="BD100" s="4007"/>
      <c r="BE100" s="4007"/>
      <c r="BF100" s="4647"/>
      <c r="BG100" s="4648"/>
      <c r="BH100" s="4647"/>
      <c r="BI100" s="4649"/>
      <c r="BJ100" s="4607"/>
      <c r="BK100" s="1"/>
      <c r="BL100" s="1"/>
      <c r="BM100" s="1"/>
      <c r="BN100" s="1"/>
      <c r="BO100" s="1"/>
      <c r="BP100" s="1"/>
    </row>
    <row r="101" spans="1:79" ht="88.5" customHeight="1" x14ac:dyDescent="0.2">
      <c r="A101" s="916"/>
      <c r="B101" s="933"/>
      <c r="C101" s="934"/>
      <c r="D101" s="934"/>
      <c r="E101" s="934"/>
      <c r="F101" s="935"/>
      <c r="G101" s="4635"/>
      <c r="H101" s="4636"/>
      <c r="I101" s="4637"/>
      <c r="J101" s="2518">
        <v>165</v>
      </c>
      <c r="K101" s="2386" t="s">
        <v>1915</v>
      </c>
      <c r="L101" s="2116" t="s">
        <v>146</v>
      </c>
      <c r="M101" s="2517">
        <v>12</v>
      </c>
      <c r="N101" s="2485">
        <v>12</v>
      </c>
      <c r="O101" s="2636"/>
      <c r="P101" s="2636"/>
      <c r="Q101" s="3980"/>
      <c r="R101" s="1036">
        <f>W101/S97</f>
        <v>1.2081207851361824E-3</v>
      </c>
      <c r="S101" s="4638"/>
      <c r="T101" s="2604"/>
      <c r="U101" s="1037" t="s">
        <v>1916</v>
      </c>
      <c r="V101" s="1037" t="s">
        <v>1916</v>
      </c>
      <c r="W101" s="997">
        <v>20304000</v>
      </c>
      <c r="X101" s="930">
        <v>9900000</v>
      </c>
      <c r="Y101" s="930">
        <v>9900000</v>
      </c>
      <c r="Z101" s="2383" t="s">
        <v>197</v>
      </c>
      <c r="AA101" s="2196" t="s">
        <v>1906</v>
      </c>
      <c r="AB101" s="3091"/>
      <c r="AC101" s="2862"/>
      <c r="AD101" s="3091"/>
      <c r="AE101" s="2862"/>
      <c r="AF101" s="3091"/>
      <c r="AG101" s="2862"/>
      <c r="AH101" s="3091"/>
      <c r="AI101" s="2862"/>
      <c r="AJ101" s="3091"/>
      <c r="AK101" s="2862"/>
      <c r="AL101" s="3091"/>
      <c r="AM101" s="2862"/>
      <c r="AN101" s="3091"/>
      <c r="AO101" s="2862"/>
      <c r="AP101" s="3091"/>
      <c r="AQ101" s="2862"/>
      <c r="AR101" s="3091"/>
      <c r="AS101" s="2862"/>
      <c r="AT101" s="3091"/>
      <c r="AU101" s="2862"/>
      <c r="AV101" s="3091"/>
      <c r="AW101" s="2862"/>
      <c r="AX101" s="3091"/>
      <c r="AY101" s="2862"/>
      <c r="AZ101" s="3091"/>
      <c r="BA101" s="4610"/>
      <c r="BB101" s="4610"/>
      <c r="BC101" s="3099"/>
      <c r="BD101" s="3091"/>
      <c r="BE101" s="3091"/>
      <c r="BF101" s="4647"/>
      <c r="BG101" s="4648"/>
      <c r="BH101" s="4647"/>
      <c r="BI101" s="4649"/>
      <c r="BJ101" s="4607"/>
    </row>
    <row r="102" spans="1:79" ht="30" customHeight="1" x14ac:dyDescent="0.2">
      <c r="A102" s="916"/>
      <c r="B102" s="1040">
        <v>14</v>
      </c>
      <c r="C102" s="456" t="s">
        <v>1917</v>
      </c>
      <c r="D102" s="456"/>
      <c r="E102" s="456"/>
      <c r="F102" s="456"/>
      <c r="G102" s="47"/>
      <c r="H102" s="47"/>
      <c r="I102" s="47"/>
      <c r="J102" s="616"/>
      <c r="K102" s="48"/>
      <c r="L102" s="49"/>
      <c r="M102" s="49"/>
      <c r="N102" s="641"/>
      <c r="O102" s="48"/>
      <c r="P102" s="49"/>
      <c r="Q102" s="48"/>
      <c r="R102" s="49"/>
      <c r="S102" s="48"/>
      <c r="T102" s="48"/>
      <c r="U102" s="48"/>
      <c r="V102" s="48"/>
      <c r="W102" s="48"/>
      <c r="X102" s="940"/>
      <c r="Y102" s="914"/>
      <c r="Z102" s="941"/>
      <c r="AA102" s="48"/>
      <c r="AB102" s="48"/>
      <c r="AC102" s="914"/>
      <c r="AD102" s="48"/>
      <c r="AE102" s="914"/>
      <c r="AF102" s="48"/>
      <c r="AG102" s="914"/>
      <c r="AH102" s="48"/>
      <c r="AI102" s="914"/>
      <c r="AJ102" s="48"/>
      <c r="AK102" s="914"/>
      <c r="AL102" s="48"/>
      <c r="AM102" s="914"/>
      <c r="AN102" s="48"/>
      <c r="AO102" s="914"/>
      <c r="AP102" s="48"/>
      <c r="AQ102" s="914"/>
      <c r="AR102" s="48"/>
      <c r="AS102" s="914"/>
      <c r="AT102" s="48"/>
      <c r="AU102" s="914"/>
      <c r="AV102" s="48"/>
      <c r="AW102" s="914"/>
      <c r="AX102" s="48"/>
      <c r="AY102" s="914"/>
      <c r="AZ102" s="48"/>
      <c r="BA102" s="1552"/>
      <c r="BB102" s="1552"/>
      <c r="BC102" s="942"/>
      <c r="BD102" s="48"/>
      <c r="BE102" s="48"/>
      <c r="BF102" s="47"/>
      <c r="BG102" s="157"/>
      <c r="BH102" s="47"/>
      <c r="BI102" s="157"/>
      <c r="BJ102" s="666"/>
      <c r="BK102" s="1"/>
      <c r="BL102" s="1"/>
      <c r="BM102" s="1"/>
      <c r="BN102" s="1"/>
      <c r="BO102" s="1"/>
      <c r="BP102" s="1"/>
    </row>
    <row r="103" spans="1:79" ht="36.75" customHeight="1" x14ac:dyDescent="0.2">
      <c r="A103" s="916"/>
      <c r="B103" s="917"/>
      <c r="C103" s="918"/>
      <c r="D103" s="918"/>
      <c r="E103" s="918"/>
      <c r="F103" s="919"/>
      <c r="G103" s="1041">
        <v>50</v>
      </c>
      <c r="H103" s="51" t="s">
        <v>1918</v>
      </c>
      <c r="I103" s="51"/>
      <c r="J103" s="2074"/>
      <c r="K103" s="52"/>
      <c r="L103" s="53"/>
      <c r="M103" s="53"/>
      <c r="N103" s="1042"/>
      <c r="O103" s="52"/>
      <c r="P103" s="53"/>
      <c r="Q103" s="52"/>
      <c r="R103" s="53"/>
      <c r="S103" s="52"/>
      <c r="T103" s="52"/>
      <c r="U103" s="52"/>
      <c r="V103" s="52"/>
      <c r="W103" s="52"/>
      <c r="X103" s="1043"/>
      <c r="Y103" s="1043"/>
      <c r="Z103" s="1044"/>
      <c r="AA103" s="52"/>
      <c r="AB103" s="52"/>
      <c r="AC103" s="1043"/>
      <c r="AD103" s="52"/>
      <c r="AE103" s="1043"/>
      <c r="AF103" s="52"/>
      <c r="AG103" s="1045"/>
      <c r="AH103" s="52"/>
      <c r="AI103" s="1043"/>
      <c r="AJ103" s="1046"/>
      <c r="AK103" s="1043"/>
      <c r="AL103" s="1046"/>
      <c r="AM103" s="1043"/>
      <c r="AN103" s="52"/>
      <c r="AO103" s="1043"/>
      <c r="AP103" s="52"/>
      <c r="AQ103" s="1043"/>
      <c r="AR103" s="52"/>
      <c r="AS103" s="1043"/>
      <c r="AT103" s="52"/>
      <c r="AU103" s="1043"/>
      <c r="AV103" s="52"/>
      <c r="AW103" s="1043"/>
      <c r="AX103" s="52"/>
      <c r="AY103" s="1043"/>
      <c r="AZ103" s="52"/>
      <c r="BA103" s="1559"/>
      <c r="BB103" s="1559"/>
      <c r="BC103" s="1047"/>
      <c r="BD103" s="52"/>
      <c r="BE103" s="52"/>
      <c r="BF103" s="51"/>
      <c r="BG103" s="893"/>
      <c r="BH103" s="51"/>
      <c r="BI103" s="893"/>
      <c r="BJ103" s="657"/>
      <c r="BK103" s="1"/>
      <c r="BL103" s="1"/>
      <c r="BM103" s="1"/>
      <c r="BN103" s="1"/>
      <c r="BO103" s="1"/>
      <c r="BP103" s="1"/>
    </row>
    <row r="104" spans="1:79" s="1539" customFormat="1" ht="96.75" customHeight="1" x14ac:dyDescent="0.2">
      <c r="A104" s="916"/>
      <c r="B104" s="925"/>
      <c r="C104" s="519"/>
      <c r="D104" s="519"/>
      <c r="E104" s="519"/>
      <c r="F104" s="926"/>
      <c r="G104" s="917"/>
      <c r="H104" s="918"/>
      <c r="I104" s="919"/>
      <c r="J104" s="2107">
        <v>166</v>
      </c>
      <c r="K104" s="2386" t="s">
        <v>1919</v>
      </c>
      <c r="L104" s="2107" t="s">
        <v>146</v>
      </c>
      <c r="M104" s="2415">
        <v>1</v>
      </c>
      <c r="N104" s="2486">
        <v>1</v>
      </c>
      <c r="O104" s="2605" t="s">
        <v>1920</v>
      </c>
      <c r="P104" s="2600">
        <v>154</v>
      </c>
      <c r="Q104" s="3054" t="s">
        <v>1921</v>
      </c>
      <c r="R104" s="2276">
        <v>0.1</v>
      </c>
      <c r="S104" s="4645">
        <v>18035279258</v>
      </c>
      <c r="T104" s="2605" t="s">
        <v>1922</v>
      </c>
      <c r="U104" s="2605" t="s">
        <v>1923</v>
      </c>
      <c r="V104" s="1038" t="s">
        <v>1924</v>
      </c>
      <c r="W104" s="1048">
        <v>0</v>
      </c>
      <c r="X104" s="1049">
        <v>0</v>
      </c>
      <c r="Y104" s="1049">
        <v>0</v>
      </c>
      <c r="Z104" s="4642" t="s">
        <v>1925</v>
      </c>
      <c r="AA104" s="2129" t="s">
        <v>1702</v>
      </c>
      <c r="AB104" s="3090">
        <v>64149</v>
      </c>
      <c r="AC104" s="2826">
        <f>SUM(AB104*0.64)</f>
        <v>41055.360000000001</v>
      </c>
      <c r="AD104" s="3090">
        <v>72224</v>
      </c>
      <c r="AE104" s="2826">
        <f>SUM(AD104*0.64)</f>
        <v>46223.360000000001</v>
      </c>
      <c r="AF104" s="3090">
        <v>27477</v>
      </c>
      <c r="AG104" s="2826">
        <f>SUM(AF104*0.64)</f>
        <v>17585.28</v>
      </c>
      <c r="AH104" s="3090">
        <v>86843</v>
      </c>
      <c r="AI104" s="2826">
        <f>SUM(AH104*0.64)</f>
        <v>55579.520000000004</v>
      </c>
      <c r="AJ104" s="3090">
        <v>236429</v>
      </c>
      <c r="AK104" s="2826">
        <f>SUM(AJ104*0.64)</f>
        <v>151314.56</v>
      </c>
      <c r="AL104" s="3090">
        <v>75612</v>
      </c>
      <c r="AM104" s="2826">
        <f>SUM(AL104*0.64)</f>
        <v>48391.68</v>
      </c>
      <c r="AN104" s="3090">
        <v>13208</v>
      </c>
      <c r="AO104" s="2826">
        <f>SUM(AN104*0.64)</f>
        <v>8453.1200000000008</v>
      </c>
      <c r="AP104" s="3090">
        <v>2145</v>
      </c>
      <c r="AQ104" s="2826">
        <f>SUM(AP104*0.64)</f>
        <v>1372.8</v>
      </c>
      <c r="AR104" s="3090">
        <v>413</v>
      </c>
      <c r="AS104" s="2826">
        <f>SUM(AR104*0.64)</f>
        <v>264.32</v>
      </c>
      <c r="AT104" s="3090">
        <v>520</v>
      </c>
      <c r="AU104" s="2826">
        <f>SUM(AT104*0.64)</f>
        <v>332.8</v>
      </c>
      <c r="AV104" s="3090">
        <v>16897</v>
      </c>
      <c r="AW104" s="2826">
        <f>SUM(AV104*0.64)</f>
        <v>10814.08</v>
      </c>
      <c r="AX104" s="3090">
        <v>75612</v>
      </c>
      <c r="AY104" s="2826">
        <f>SUM(AX104*0.64)</f>
        <v>48391.68</v>
      </c>
      <c r="AZ104" s="3090">
        <v>77</v>
      </c>
      <c r="BA104" s="4608">
        <f>SUM(X105)</f>
        <v>14321962092</v>
      </c>
      <c r="BB104" s="4608">
        <f>SUM(Y105)</f>
        <v>11552493435</v>
      </c>
      <c r="BC104" s="3098">
        <f>BB104/BA104</f>
        <v>0.8066278461561508</v>
      </c>
      <c r="BD104" s="4650" t="s">
        <v>1925</v>
      </c>
      <c r="BE104" s="3090" t="s">
        <v>1908</v>
      </c>
      <c r="BF104" s="3080">
        <v>42583</v>
      </c>
      <c r="BG104" s="2578">
        <v>42583</v>
      </c>
      <c r="BH104" s="3080">
        <v>42735</v>
      </c>
      <c r="BI104" s="4639">
        <v>42735</v>
      </c>
      <c r="BJ104" s="4607" t="s">
        <v>1687</v>
      </c>
      <c r="BK104" s="4652"/>
      <c r="BL104" s="4652"/>
      <c r="BM104" s="4652"/>
      <c r="BN104" s="4652"/>
      <c r="BO104" s="4652"/>
      <c r="BP104" s="4652"/>
      <c r="BQ104" s="4652"/>
      <c r="BR104" s="4652"/>
      <c r="BS104" s="4652"/>
      <c r="BT104" s="4652"/>
      <c r="BU104" s="4652"/>
      <c r="BV104" s="4652"/>
      <c r="BW104" s="4652"/>
      <c r="BX104" s="4652"/>
      <c r="BY104" s="4652"/>
      <c r="BZ104" s="4652"/>
      <c r="CA104" s="4652"/>
    </row>
    <row r="105" spans="1:79" ht="106.5" customHeight="1" x14ac:dyDescent="0.2">
      <c r="A105" s="916"/>
      <c r="B105" s="925"/>
      <c r="C105" s="519"/>
      <c r="D105" s="519"/>
      <c r="E105" s="519"/>
      <c r="F105" s="926"/>
      <c r="G105" s="925"/>
      <c r="H105" s="519"/>
      <c r="I105" s="926"/>
      <c r="J105" s="2707">
        <v>167</v>
      </c>
      <c r="K105" s="3054" t="s">
        <v>1926</v>
      </c>
      <c r="L105" s="2707" t="s">
        <v>146</v>
      </c>
      <c r="M105" s="2707">
        <v>15</v>
      </c>
      <c r="N105" s="4226">
        <v>15</v>
      </c>
      <c r="O105" s="2987"/>
      <c r="P105" s="2601"/>
      <c r="Q105" s="3055"/>
      <c r="R105" s="3098">
        <v>0.8</v>
      </c>
      <c r="S105" s="3963"/>
      <c r="T105" s="2987"/>
      <c r="U105" s="2988"/>
      <c r="V105" s="1050" t="s">
        <v>1927</v>
      </c>
      <c r="W105" s="4653">
        <f>18035279258-91</f>
        <v>18035279167</v>
      </c>
      <c r="X105" s="4654">
        <v>14321962092</v>
      </c>
      <c r="Y105" s="4654">
        <v>11552493435</v>
      </c>
      <c r="Z105" s="4643"/>
      <c r="AA105" s="2196" t="s">
        <v>1702</v>
      </c>
      <c r="AB105" s="4007"/>
      <c r="AC105" s="2827"/>
      <c r="AD105" s="4007"/>
      <c r="AE105" s="2827"/>
      <c r="AF105" s="4007"/>
      <c r="AG105" s="2827"/>
      <c r="AH105" s="4007"/>
      <c r="AI105" s="2827"/>
      <c r="AJ105" s="4007"/>
      <c r="AK105" s="2827"/>
      <c r="AL105" s="4007"/>
      <c r="AM105" s="2827"/>
      <c r="AN105" s="4007"/>
      <c r="AO105" s="2827"/>
      <c r="AP105" s="4007"/>
      <c r="AQ105" s="2827"/>
      <c r="AR105" s="4007"/>
      <c r="AS105" s="2827"/>
      <c r="AT105" s="4007"/>
      <c r="AU105" s="2827"/>
      <c r="AV105" s="4007"/>
      <c r="AW105" s="2827"/>
      <c r="AX105" s="4007"/>
      <c r="AY105" s="2827"/>
      <c r="AZ105" s="4007"/>
      <c r="BA105" s="4609"/>
      <c r="BB105" s="4609"/>
      <c r="BC105" s="3234"/>
      <c r="BD105" s="4007"/>
      <c r="BE105" s="4007"/>
      <c r="BF105" s="3081"/>
      <c r="BG105" s="2579"/>
      <c r="BH105" s="3081"/>
      <c r="BI105" s="4640"/>
      <c r="BJ105" s="4607"/>
    </row>
    <row r="106" spans="1:79" ht="90.75" customHeight="1" x14ac:dyDescent="0.2">
      <c r="A106" s="916"/>
      <c r="B106" s="925"/>
      <c r="C106" s="519"/>
      <c r="D106" s="519"/>
      <c r="E106" s="519"/>
      <c r="F106" s="926"/>
      <c r="G106" s="925"/>
      <c r="H106" s="519"/>
      <c r="I106" s="926"/>
      <c r="J106" s="2709"/>
      <c r="K106" s="3056"/>
      <c r="L106" s="2709"/>
      <c r="M106" s="2709"/>
      <c r="N106" s="4226"/>
      <c r="O106" s="2987"/>
      <c r="P106" s="2601"/>
      <c r="Q106" s="3055"/>
      <c r="R106" s="3099"/>
      <c r="S106" s="3963"/>
      <c r="T106" s="2987"/>
      <c r="U106" s="2605" t="s">
        <v>1928</v>
      </c>
      <c r="V106" s="1051" t="s">
        <v>1929</v>
      </c>
      <c r="W106" s="4653"/>
      <c r="X106" s="4654"/>
      <c r="Y106" s="4654"/>
      <c r="Z106" s="4643"/>
      <c r="AA106" s="2129" t="s">
        <v>1930</v>
      </c>
      <c r="AB106" s="4007"/>
      <c r="AC106" s="2827"/>
      <c r="AD106" s="4007"/>
      <c r="AE106" s="2827"/>
      <c r="AF106" s="4007"/>
      <c r="AG106" s="2827"/>
      <c r="AH106" s="4007"/>
      <c r="AI106" s="2827"/>
      <c r="AJ106" s="4007"/>
      <c r="AK106" s="2827"/>
      <c r="AL106" s="4007"/>
      <c r="AM106" s="2827"/>
      <c r="AN106" s="4007"/>
      <c r="AO106" s="2827"/>
      <c r="AP106" s="4007"/>
      <c r="AQ106" s="2827"/>
      <c r="AR106" s="4007"/>
      <c r="AS106" s="2827"/>
      <c r="AT106" s="4007"/>
      <c r="AU106" s="2827"/>
      <c r="AV106" s="4007"/>
      <c r="AW106" s="2827"/>
      <c r="AX106" s="4007"/>
      <c r="AY106" s="2827"/>
      <c r="AZ106" s="4007"/>
      <c r="BA106" s="4609"/>
      <c r="BB106" s="4609"/>
      <c r="BC106" s="3234"/>
      <c r="BD106" s="4007"/>
      <c r="BE106" s="4007"/>
      <c r="BF106" s="3081"/>
      <c r="BG106" s="2579"/>
      <c r="BH106" s="3081"/>
      <c r="BI106" s="4640"/>
      <c r="BJ106" s="4607"/>
    </row>
    <row r="107" spans="1:79" ht="99.75" customHeight="1" x14ac:dyDescent="0.2">
      <c r="A107" s="916"/>
      <c r="B107" s="925"/>
      <c r="C107" s="519"/>
      <c r="D107" s="519"/>
      <c r="E107" s="519"/>
      <c r="F107" s="926"/>
      <c r="G107" s="925"/>
      <c r="H107" s="519"/>
      <c r="I107" s="926"/>
      <c r="J107" s="2107">
        <v>168</v>
      </c>
      <c r="K107" s="2386" t="s">
        <v>1931</v>
      </c>
      <c r="L107" s="2116" t="s">
        <v>146</v>
      </c>
      <c r="M107" s="2107">
        <v>14</v>
      </c>
      <c r="N107" s="2485">
        <v>14</v>
      </c>
      <c r="O107" s="2988"/>
      <c r="P107" s="2636"/>
      <c r="Q107" s="3056"/>
      <c r="R107" s="2276">
        <v>0.1</v>
      </c>
      <c r="S107" s="4646"/>
      <c r="T107" s="2988"/>
      <c r="U107" s="2988"/>
      <c r="V107" s="1038" t="s">
        <v>1932</v>
      </c>
      <c r="W107" s="1048">
        <v>0</v>
      </c>
      <c r="X107" s="1052">
        <v>0</v>
      </c>
      <c r="Y107" s="1052">
        <v>0</v>
      </c>
      <c r="Z107" s="4644"/>
      <c r="AA107" s="2129" t="s">
        <v>1702</v>
      </c>
      <c r="AB107" s="3091"/>
      <c r="AC107" s="2862"/>
      <c r="AD107" s="3091"/>
      <c r="AE107" s="2862"/>
      <c r="AF107" s="3091"/>
      <c r="AG107" s="2862"/>
      <c r="AH107" s="3091"/>
      <c r="AI107" s="2862"/>
      <c r="AJ107" s="3091"/>
      <c r="AK107" s="2862"/>
      <c r="AL107" s="3091"/>
      <c r="AM107" s="2862"/>
      <c r="AN107" s="3091"/>
      <c r="AO107" s="2862"/>
      <c r="AP107" s="3091"/>
      <c r="AQ107" s="2862"/>
      <c r="AR107" s="3091"/>
      <c r="AS107" s="2862"/>
      <c r="AT107" s="3091"/>
      <c r="AU107" s="2862"/>
      <c r="AV107" s="3091"/>
      <c r="AW107" s="2862"/>
      <c r="AX107" s="3091"/>
      <c r="AY107" s="2862"/>
      <c r="AZ107" s="3091"/>
      <c r="BA107" s="4610"/>
      <c r="BB107" s="4610"/>
      <c r="BC107" s="3099"/>
      <c r="BD107" s="3091"/>
      <c r="BE107" s="3091"/>
      <c r="BF107" s="3082"/>
      <c r="BG107" s="2580"/>
      <c r="BH107" s="3082"/>
      <c r="BI107" s="4641"/>
      <c r="BJ107" s="4607"/>
      <c r="BK107" s="4651"/>
      <c r="BL107" s="4651"/>
      <c r="BM107" s="4651"/>
      <c r="BN107" s="4651"/>
      <c r="BO107" s="4651"/>
      <c r="BP107" s="4651"/>
      <c r="BQ107" s="4651"/>
      <c r="BR107" s="4651"/>
      <c r="BS107" s="4651"/>
      <c r="BT107" s="4651"/>
      <c r="BU107" s="4651"/>
      <c r="BV107" s="4651"/>
      <c r="BW107" s="4651"/>
      <c r="BX107" s="4651"/>
      <c r="BY107" s="4651"/>
      <c r="BZ107" s="4651"/>
      <c r="CA107" s="4651"/>
    </row>
    <row r="108" spans="1:79" ht="132.75" customHeight="1" x14ac:dyDescent="0.2">
      <c r="A108" s="916"/>
      <c r="B108" s="925"/>
      <c r="C108" s="519"/>
      <c r="D108" s="519"/>
      <c r="E108" s="519"/>
      <c r="F108" s="926"/>
      <c r="G108" s="933"/>
      <c r="H108" s="934"/>
      <c r="I108" s="935"/>
      <c r="J108" s="2107">
        <v>164</v>
      </c>
      <c r="K108" s="2386" t="s">
        <v>1926</v>
      </c>
      <c r="L108" s="2116" t="s">
        <v>146</v>
      </c>
      <c r="M108" s="2107">
        <v>12</v>
      </c>
      <c r="N108" s="2485">
        <v>12</v>
      </c>
      <c r="O108" s="2129"/>
      <c r="P108" s="2303">
        <v>174</v>
      </c>
      <c r="Q108" s="2386" t="s">
        <v>1933</v>
      </c>
      <c r="R108" s="2276">
        <v>1</v>
      </c>
      <c r="S108" s="2513">
        <v>2500000000</v>
      </c>
      <c r="T108" s="2129"/>
      <c r="U108" s="2129"/>
      <c r="V108" s="1038" t="s">
        <v>1934</v>
      </c>
      <c r="W108" s="1053">
        <v>2500000000</v>
      </c>
      <c r="X108" s="2514">
        <v>0</v>
      </c>
      <c r="Y108" s="2514">
        <v>0</v>
      </c>
      <c r="Z108" s="1054">
        <v>100</v>
      </c>
      <c r="AA108" s="2129" t="s">
        <v>1935</v>
      </c>
      <c r="AB108" s="2201">
        <v>64149</v>
      </c>
      <c r="AC108" s="2170">
        <v>0</v>
      </c>
      <c r="AD108" s="2201">
        <v>72224</v>
      </c>
      <c r="AE108" s="2170">
        <v>0</v>
      </c>
      <c r="AF108" s="2201">
        <v>27477</v>
      </c>
      <c r="AG108" s="2170">
        <v>0</v>
      </c>
      <c r="AH108" s="2201">
        <v>86843</v>
      </c>
      <c r="AI108" s="2170">
        <v>0</v>
      </c>
      <c r="AJ108" s="2201">
        <v>236429</v>
      </c>
      <c r="AK108" s="2170">
        <v>0</v>
      </c>
      <c r="AL108" s="2201">
        <v>75612</v>
      </c>
      <c r="AM108" s="2170">
        <v>0</v>
      </c>
      <c r="AN108" s="2201">
        <v>13208</v>
      </c>
      <c r="AO108" s="2170">
        <v>0</v>
      </c>
      <c r="AP108" s="2201">
        <v>2145</v>
      </c>
      <c r="AQ108" s="2170">
        <v>0</v>
      </c>
      <c r="AR108" s="2201">
        <v>413</v>
      </c>
      <c r="AS108" s="2170">
        <v>0</v>
      </c>
      <c r="AT108" s="2201">
        <v>520</v>
      </c>
      <c r="AU108" s="2170">
        <v>0</v>
      </c>
      <c r="AV108" s="2201">
        <v>16897</v>
      </c>
      <c r="AW108" s="2170">
        <v>0</v>
      </c>
      <c r="AX108" s="2201">
        <v>75612</v>
      </c>
      <c r="AY108" s="2170">
        <v>0</v>
      </c>
      <c r="AZ108" s="2201">
        <v>0</v>
      </c>
      <c r="BA108" s="2500">
        <f>SUM(X108)</f>
        <v>0</v>
      </c>
      <c r="BB108" s="2500">
        <f>SUM(Y108)</f>
        <v>0</v>
      </c>
      <c r="BC108" s="2201">
        <f>SUM(BB108/S108)</f>
        <v>0</v>
      </c>
      <c r="BD108" s="2201" t="s">
        <v>1936</v>
      </c>
      <c r="BE108" s="2201" t="s">
        <v>1908</v>
      </c>
      <c r="BF108" s="2201">
        <v>42583</v>
      </c>
      <c r="BG108" s="2511">
        <v>42705</v>
      </c>
      <c r="BH108" s="2510">
        <v>42735</v>
      </c>
      <c r="BI108" s="2512">
        <v>42735</v>
      </c>
      <c r="BJ108" s="1055" t="s">
        <v>1687</v>
      </c>
      <c r="BK108" s="4651"/>
      <c r="BL108" s="4651"/>
      <c r="BM108" s="4651"/>
      <c r="BN108" s="4651"/>
      <c r="BO108" s="4651"/>
      <c r="BP108" s="4651"/>
      <c r="BQ108" s="4651"/>
      <c r="BR108" s="4651"/>
      <c r="BS108" s="4651"/>
      <c r="BT108" s="4651"/>
      <c r="BU108" s="4651"/>
      <c r="BV108" s="4651"/>
      <c r="BW108" s="4651"/>
      <c r="BX108" s="4651"/>
      <c r="BY108" s="4651"/>
      <c r="BZ108" s="4651"/>
      <c r="CA108" s="4651"/>
    </row>
    <row r="109" spans="1:79" ht="34.5" customHeight="1" x14ac:dyDescent="0.2">
      <c r="A109" s="916"/>
      <c r="B109" s="925"/>
      <c r="C109" s="519"/>
      <c r="D109" s="519"/>
      <c r="E109" s="519"/>
      <c r="F109" s="926"/>
      <c r="G109" s="1056">
        <v>51</v>
      </c>
      <c r="H109" s="555" t="s">
        <v>1937</v>
      </c>
      <c r="I109" s="555"/>
      <c r="J109" s="1366"/>
      <c r="K109" s="1058"/>
      <c r="L109" s="1059"/>
      <c r="M109" s="1059"/>
      <c r="N109" s="1060"/>
      <c r="O109" s="1058"/>
      <c r="P109" s="1059"/>
      <c r="Q109" s="1058"/>
      <c r="R109" s="1059"/>
      <c r="S109" s="1058"/>
      <c r="T109" s="1058"/>
      <c r="U109" s="1058"/>
      <c r="V109" s="1058"/>
      <c r="W109" s="1058"/>
      <c r="X109" s="1061"/>
      <c r="Y109" s="1062"/>
      <c r="Z109" s="1063"/>
      <c r="AA109" s="1058"/>
      <c r="AB109" s="1058"/>
      <c r="AC109" s="1058"/>
      <c r="AD109" s="1058"/>
      <c r="AE109" s="1058"/>
      <c r="AF109" s="1058"/>
      <c r="AG109" s="1058"/>
      <c r="AH109" s="1058"/>
      <c r="AI109" s="1058"/>
      <c r="AJ109" s="1058"/>
      <c r="AK109" s="1058"/>
      <c r="AL109" s="1058"/>
      <c r="AM109" s="1058"/>
      <c r="AN109" s="1058"/>
      <c r="AO109" s="1058"/>
      <c r="AP109" s="1058"/>
      <c r="AQ109" s="1058"/>
      <c r="AR109" s="1058"/>
      <c r="AS109" s="1058"/>
      <c r="AT109" s="1058"/>
      <c r="AU109" s="1058"/>
      <c r="AV109" s="1058"/>
      <c r="AW109" s="1058"/>
      <c r="AX109" s="1058"/>
      <c r="AY109" s="1058"/>
      <c r="AZ109" s="1058"/>
      <c r="BA109" s="1560"/>
      <c r="BB109" s="1560"/>
      <c r="BC109" s="1058"/>
      <c r="BD109" s="1058"/>
      <c r="BE109" s="1058"/>
      <c r="BF109" s="1058"/>
      <c r="BG109" s="1058"/>
      <c r="BH109" s="1058"/>
      <c r="BI109" s="1058"/>
      <c r="BJ109" s="659"/>
      <c r="BK109" s="1"/>
      <c r="BL109" s="1"/>
      <c r="BM109" s="1"/>
      <c r="BN109" s="1"/>
      <c r="BO109" s="1"/>
      <c r="BP109" s="1"/>
    </row>
    <row r="110" spans="1:79" ht="77.25" customHeight="1" x14ac:dyDescent="0.2">
      <c r="A110" s="2106"/>
      <c r="B110" s="2221"/>
      <c r="C110" s="2208"/>
      <c r="D110" s="2208"/>
      <c r="E110" s="2208"/>
      <c r="F110" s="2207"/>
      <c r="G110" s="2219"/>
      <c r="H110" s="2566"/>
      <c r="I110" s="2220"/>
      <c r="J110" s="2707">
        <v>169</v>
      </c>
      <c r="K110" s="3054" t="s">
        <v>1938</v>
      </c>
      <c r="L110" s="2707" t="s">
        <v>146</v>
      </c>
      <c r="M110" s="2707">
        <v>12</v>
      </c>
      <c r="N110" s="2672">
        <v>12</v>
      </c>
      <c r="O110" s="2605" t="s">
        <v>1939</v>
      </c>
      <c r="P110" s="2600">
        <v>155</v>
      </c>
      <c r="Q110" s="3054" t="s">
        <v>1940</v>
      </c>
      <c r="R110" s="3098">
        <v>1</v>
      </c>
      <c r="S110" s="4627">
        <v>53645960</v>
      </c>
      <c r="T110" s="2605" t="s">
        <v>1941</v>
      </c>
      <c r="U110" s="2605" t="s">
        <v>1942</v>
      </c>
      <c r="V110" s="2386" t="s">
        <v>1943</v>
      </c>
      <c r="W110" s="997">
        <v>22864000</v>
      </c>
      <c r="X110" s="930">
        <v>21030667</v>
      </c>
      <c r="Y110" s="930">
        <v>21030667</v>
      </c>
      <c r="Z110" s="2625" t="s">
        <v>1936</v>
      </c>
      <c r="AA110" s="2605" t="s">
        <v>1930</v>
      </c>
      <c r="AB110" s="3090">
        <v>64149</v>
      </c>
      <c r="AC110" s="2826">
        <f>SUM(AB110*0.71)</f>
        <v>45545.79</v>
      </c>
      <c r="AD110" s="3090">
        <v>72224</v>
      </c>
      <c r="AE110" s="2826">
        <f>SUM(AD110*0.71)</f>
        <v>51279.040000000001</v>
      </c>
      <c r="AF110" s="3090">
        <v>27477</v>
      </c>
      <c r="AG110" s="2826">
        <f>SUM(AF110*0.71)</f>
        <v>19508.669999999998</v>
      </c>
      <c r="AH110" s="3090">
        <v>86843</v>
      </c>
      <c r="AI110" s="2826">
        <f>SUM(AH110*0.71)</f>
        <v>61658.53</v>
      </c>
      <c r="AJ110" s="3090">
        <v>236429</v>
      </c>
      <c r="AK110" s="2826">
        <f>SUM(AJ110*0.71)</f>
        <v>167864.59</v>
      </c>
      <c r="AL110" s="3090">
        <v>75612</v>
      </c>
      <c r="AM110" s="2826">
        <f>SUM(AL110*0.71)</f>
        <v>53684.52</v>
      </c>
      <c r="AN110" s="3090">
        <v>13208</v>
      </c>
      <c r="AO110" s="2826">
        <f>SUM(AN110*0.71)</f>
        <v>9377.68</v>
      </c>
      <c r="AP110" s="3090">
        <v>2145</v>
      </c>
      <c r="AQ110" s="2826">
        <f>SUM(AP110*0.71)</f>
        <v>1522.9499999999998</v>
      </c>
      <c r="AR110" s="3090">
        <v>413</v>
      </c>
      <c r="AS110" s="2826">
        <f>SUM(AR110*0.71)</f>
        <v>293.22999999999996</v>
      </c>
      <c r="AT110" s="3090">
        <v>520</v>
      </c>
      <c r="AU110" s="2826">
        <f>SUM(AT110*0.71)</f>
        <v>369.2</v>
      </c>
      <c r="AV110" s="3090">
        <v>16897</v>
      </c>
      <c r="AW110" s="2826">
        <f>SUM(AV110*0.71)</f>
        <v>11996.869999999999</v>
      </c>
      <c r="AX110" s="3090">
        <v>75612</v>
      </c>
      <c r="AY110" s="2826">
        <f>SUM(AX110*0.71)</f>
        <v>53684.52</v>
      </c>
      <c r="AZ110" s="3090">
        <v>4</v>
      </c>
      <c r="BA110" s="4608">
        <f>SUM(X110:X111)</f>
        <v>38266667</v>
      </c>
      <c r="BB110" s="4608">
        <f>SUM(Y110:Y111)</f>
        <v>38266667</v>
      </c>
      <c r="BC110" s="3098">
        <f>BA110/BB110</f>
        <v>1</v>
      </c>
      <c r="BD110" s="3090" t="s">
        <v>1936</v>
      </c>
      <c r="BE110" s="3090" t="s">
        <v>1908</v>
      </c>
      <c r="BF110" s="4647">
        <v>42583</v>
      </c>
      <c r="BG110" s="4648">
        <v>42583</v>
      </c>
      <c r="BH110" s="4647">
        <v>42735</v>
      </c>
      <c r="BI110" s="4649">
        <v>42735</v>
      </c>
      <c r="BJ110" s="4607" t="s">
        <v>1687</v>
      </c>
    </row>
    <row r="111" spans="1:79" ht="49.5" customHeight="1" x14ac:dyDescent="0.2">
      <c r="A111" s="924"/>
      <c r="B111" s="931"/>
      <c r="C111" s="689"/>
      <c r="D111" s="689"/>
      <c r="E111" s="689"/>
      <c r="F111" s="932"/>
      <c r="G111" s="936"/>
      <c r="H111" s="937"/>
      <c r="I111" s="938"/>
      <c r="J111" s="2709"/>
      <c r="K111" s="3056"/>
      <c r="L111" s="2709"/>
      <c r="M111" s="2709"/>
      <c r="N111" s="2674"/>
      <c r="O111" s="2988"/>
      <c r="P111" s="2636"/>
      <c r="Q111" s="3056"/>
      <c r="R111" s="3099"/>
      <c r="S111" s="4629"/>
      <c r="T111" s="2988"/>
      <c r="U111" s="2988"/>
      <c r="V111" s="2386" t="s">
        <v>1944</v>
      </c>
      <c r="W111" s="997">
        <v>30781960</v>
      </c>
      <c r="X111" s="989">
        <v>17236000</v>
      </c>
      <c r="Y111" s="989">
        <v>17236000</v>
      </c>
      <c r="Z111" s="4634"/>
      <c r="AA111" s="2988"/>
      <c r="AB111" s="3091"/>
      <c r="AC111" s="2862"/>
      <c r="AD111" s="3091"/>
      <c r="AE111" s="2862"/>
      <c r="AF111" s="3091"/>
      <c r="AG111" s="2862"/>
      <c r="AH111" s="3091"/>
      <c r="AI111" s="2862"/>
      <c r="AJ111" s="3091"/>
      <c r="AK111" s="2862"/>
      <c r="AL111" s="3091"/>
      <c r="AM111" s="2862"/>
      <c r="AN111" s="3091"/>
      <c r="AO111" s="2862"/>
      <c r="AP111" s="3091"/>
      <c r="AQ111" s="2862"/>
      <c r="AR111" s="3091"/>
      <c r="AS111" s="2862"/>
      <c r="AT111" s="3091"/>
      <c r="AU111" s="2862"/>
      <c r="AV111" s="3091"/>
      <c r="AW111" s="2862"/>
      <c r="AX111" s="3091"/>
      <c r="AY111" s="2862"/>
      <c r="AZ111" s="3091"/>
      <c r="BA111" s="4610"/>
      <c r="BB111" s="4610"/>
      <c r="BC111" s="3099"/>
      <c r="BD111" s="3091"/>
      <c r="BE111" s="3091"/>
      <c r="BF111" s="4647"/>
      <c r="BG111" s="4648"/>
      <c r="BH111" s="4647"/>
      <c r="BI111" s="4649"/>
      <c r="BJ111" s="4607"/>
    </row>
    <row r="112" spans="1:79" ht="40.5" customHeight="1" x14ac:dyDescent="0.2">
      <c r="A112" s="916"/>
      <c r="B112" s="925"/>
      <c r="C112" s="519"/>
      <c r="D112" s="519"/>
      <c r="E112" s="519"/>
      <c r="F112" s="926"/>
      <c r="G112" s="920">
        <v>52</v>
      </c>
      <c r="H112" s="50" t="s">
        <v>1945</v>
      </c>
      <c r="I112" s="50"/>
      <c r="J112" s="1376"/>
      <c r="K112" s="412"/>
      <c r="L112" s="2520"/>
      <c r="M112" s="2520"/>
      <c r="N112" s="643"/>
      <c r="O112" s="412"/>
      <c r="P112" s="2520"/>
      <c r="Q112" s="412"/>
      <c r="R112" s="2520"/>
      <c r="S112" s="412"/>
      <c r="T112" s="412"/>
      <c r="U112" s="412"/>
      <c r="V112" s="946"/>
      <c r="W112" s="412"/>
      <c r="X112" s="947"/>
      <c r="Y112" s="922"/>
      <c r="Z112" s="2519"/>
      <c r="AA112" s="946"/>
      <c r="AB112" s="412"/>
      <c r="AC112" s="921"/>
      <c r="AD112" s="412"/>
      <c r="AE112" s="921"/>
      <c r="AF112" s="412"/>
      <c r="AG112" s="921"/>
      <c r="AH112" s="412"/>
      <c r="AI112" s="921"/>
      <c r="AJ112" s="412"/>
      <c r="AK112" s="921"/>
      <c r="AL112" s="412"/>
      <c r="AM112" s="921"/>
      <c r="AN112" s="412"/>
      <c r="AO112" s="921"/>
      <c r="AP112" s="412"/>
      <c r="AQ112" s="994"/>
      <c r="AR112" s="412"/>
      <c r="AS112" s="921"/>
      <c r="AT112" s="412"/>
      <c r="AU112" s="921"/>
      <c r="AV112" s="412"/>
      <c r="AW112" s="921"/>
      <c r="AX112" s="412"/>
      <c r="AY112" s="994"/>
      <c r="AZ112" s="412"/>
      <c r="BA112" s="1553"/>
      <c r="BB112" s="1553"/>
      <c r="BC112" s="943"/>
      <c r="BD112" s="412"/>
      <c r="BE112" s="412"/>
      <c r="BF112" s="50"/>
      <c r="BG112" s="411"/>
      <c r="BH112" s="50"/>
      <c r="BI112" s="411"/>
      <c r="BJ112" s="657"/>
      <c r="BK112" s="1"/>
      <c r="BL112" s="1"/>
      <c r="BM112" s="1"/>
      <c r="BN112" s="1"/>
      <c r="BO112" s="1"/>
      <c r="BP112" s="1"/>
    </row>
    <row r="113" spans="1:68" ht="94.5" customHeight="1" x14ac:dyDescent="0.2">
      <c r="A113" s="455"/>
      <c r="B113" s="948"/>
      <c r="C113" s="454"/>
      <c r="D113" s="454"/>
      <c r="E113" s="454"/>
      <c r="F113" s="949"/>
      <c r="G113" s="1064"/>
      <c r="H113" s="950"/>
      <c r="I113" s="951"/>
      <c r="J113" s="2707">
        <v>170</v>
      </c>
      <c r="K113" s="3054" t="s">
        <v>1946</v>
      </c>
      <c r="L113" s="2707" t="s">
        <v>146</v>
      </c>
      <c r="M113" s="2707">
        <v>14</v>
      </c>
      <c r="N113" s="4226">
        <v>0</v>
      </c>
      <c r="O113" s="2605" t="s">
        <v>1947</v>
      </c>
      <c r="P113" s="2600">
        <v>156</v>
      </c>
      <c r="Q113" s="3054" t="s">
        <v>1948</v>
      </c>
      <c r="R113" s="3098">
        <f>40000000/S113</f>
        <v>0.2857142857142857</v>
      </c>
      <c r="S113" s="4613">
        <v>140000000</v>
      </c>
      <c r="T113" s="2605" t="s">
        <v>1949</v>
      </c>
      <c r="U113" s="3054" t="s">
        <v>1950</v>
      </c>
      <c r="V113" s="1038" t="s">
        <v>1951</v>
      </c>
      <c r="W113" s="956">
        <v>25000000</v>
      </c>
      <c r="X113" s="957">
        <v>0</v>
      </c>
      <c r="Y113" s="930">
        <v>0</v>
      </c>
      <c r="Z113" s="4642" t="s">
        <v>1936</v>
      </c>
      <c r="AA113" s="2605" t="s">
        <v>1930</v>
      </c>
      <c r="AB113" s="3090">
        <v>64149</v>
      </c>
      <c r="AC113" s="2826">
        <v>0</v>
      </c>
      <c r="AD113" s="3090">
        <v>72224</v>
      </c>
      <c r="AE113" s="2826">
        <v>0</v>
      </c>
      <c r="AF113" s="3090">
        <v>27477</v>
      </c>
      <c r="AG113" s="2826">
        <v>0</v>
      </c>
      <c r="AH113" s="3090">
        <v>86843</v>
      </c>
      <c r="AI113" s="2826">
        <v>0</v>
      </c>
      <c r="AJ113" s="3090">
        <v>236429</v>
      </c>
      <c r="AK113" s="2826">
        <v>0</v>
      </c>
      <c r="AL113" s="3090">
        <v>75612</v>
      </c>
      <c r="AM113" s="2826">
        <v>0</v>
      </c>
      <c r="AN113" s="3090">
        <v>13208</v>
      </c>
      <c r="AO113" s="2826">
        <v>0</v>
      </c>
      <c r="AP113" s="3090">
        <v>2145</v>
      </c>
      <c r="AQ113" s="2826">
        <v>0</v>
      </c>
      <c r="AR113" s="3090">
        <v>413</v>
      </c>
      <c r="AS113" s="2826">
        <v>0</v>
      </c>
      <c r="AT113" s="3090">
        <v>520</v>
      </c>
      <c r="AU113" s="2826">
        <v>0</v>
      </c>
      <c r="AV113" s="3090">
        <v>16897</v>
      </c>
      <c r="AW113" s="2826">
        <v>0</v>
      </c>
      <c r="AX113" s="3090">
        <v>75612</v>
      </c>
      <c r="AY113" s="2826">
        <v>0</v>
      </c>
      <c r="AZ113" s="3090">
        <v>0</v>
      </c>
      <c r="BA113" s="4608">
        <v>0</v>
      </c>
      <c r="BB113" s="4608">
        <v>0</v>
      </c>
      <c r="BC113" s="3098">
        <v>0</v>
      </c>
      <c r="BD113" s="4650" t="s">
        <v>1936</v>
      </c>
      <c r="BE113" s="3090" t="s">
        <v>1908</v>
      </c>
      <c r="BF113" s="3080">
        <v>42583</v>
      </c>
      <c r="BG113" s="2578">
        <v>42583</v>
      </c>
      <c r="BH113" s="3080">
        <v>42735</v>
      </c>
      <c r="BI113" s="4639">
        <v>42735</v>
      </c>
      <c r="BJ113" s="4607" t="s">
        <v>1687</v>
      </c>
    </row>
    <row r="114" spans="1:68" ht="55.5" customHeight="1" x14ac:dyDescent="0.2">
      <c r="A114" s="455"/>
      <c r="B114" s="948"/>
      <c r="C114" s="454"/>
      <c r="D114" s="454"/>
      <c r="E114" s="454"/>
      <c r="F114" s="949"/>
      <c r="G114" s="948"/>
      <c r="H114" s="454"/>
      <c r="I114" s="949"/>
      <c r="J114" s="2709"/>
      <c r="K114" s="3056"/>
      <c r="L114" s="2709"/>
      <c r="M114" s="2709"/>
      <c r="N114" s="4226"/>
      <c r="O114" s="2987"/>
      <c r="P114" s="2601"/>
      <c r="Q114" s="3055"/>
      <c r="R114" s="3099"/>
      <c r="S114" s="4615"/>
      <c r="T114" s="2987"/>
      <c r="U114" s="3056"/>
      <c r="V114" s="1038" t="s">
        <v>1952</v>
      </c>
      <c r="W114" s="956">
        <v>15000000</v>
      </c>
      <c r="X114" s="957">
        <v>0</v>
      </c>
      <c r="Y114" s="930">
        <v>0</v>
      </c>
      <c r="Z114" s="4643"/>
      <c r="AA114" s="2987"/>
      <c r="AB114" s="4007"/>
      <c r="AC114" s="2827"/>
      <c r="AD114" s="4007"/>
      <c r="AE114" s="2827"/>
      <c r="AF114" s="4007"/>
      <c r="AG114" s="2827"/>
      <c r="AH114" s="4007"/>
      <c r="AI114" s="2827"/>
      <c r="AJ114" s="4007"/>
      <c r="AK114" s="2827"/>
      <c r="AL114" s="4007"/>
      <c r="AM114" s="2827"/>
      <c r="AN114" s="4007"/>
      <c r="AO114" s="2827"/>
      <c r="AP114" s="4007"/>
      <c r="AQ114" s="2827"/>
      <c r="AR114" s="4007"/>
      <c r="AS114" s="2827"/>
      <c r="AT114" s="4007"/>
      <c r="AU114" s="2827"/>
      <c r="AV114" s="4007"/>
      <c r="AW114" s="2827"/>
      <c r="AX114" s="4007"/>
      <c r="AY114" s="2827"/>
      <c r="AZ114" s="4007"/>
      <c r="BA114" s="4609"/>
      <c r="BB114" s="4609"/>
      <c r="BC114" s="3234"/>
      <c r="BD114" s="4007"/>
      <c r="BE114" s="4007"/>
      <c r="BF114" s="3081"/>
      <c r="BG114" s="2579"/>
      <c r="BH114" s="3081"/>
      <c r="BI114" s="4640"/>
      <c r="BJ114" s="4607"/>
    </row>
    <row r="115" spans="1:68" ht="68.25" customHeight="1" x14ac:dyDescent="0.2">
      <c r="A115" s="455"/>
      <c r="B115" s="948"/>
      <c r="C115" s="454"/>
      <c r="D115" s="454"/>
      <c r="E115" s="454"/>
      <c r="F115" s="949"/>
      <c r="G115" s="948"/>
      <c r="H115" s="454"/>
      <c r="I115" s="949"/>
      <c r="J115" s="2107">
        <v>171</v>
      </c>
      <c r="K115" s="2386" t="s">
        <v>1953</v>
      </c>
      <c r="L115" s="2116" t="s">
        <v>146</v>
      </c>
      <c r="M115" s="2107">
        <v>1</v>
      </c>
      <c r="N115" s="2485">
        <v>0</v>
      </c>
      <c r="O115" s="2988"/>
      <c r="P115" s="2636"/>
      <c r="Q115" s="3056"/>
      <c r="R115" s="2276">
        <f>W115/S113</f>
        <v>0.7142857142857143</v>
      </c>
      <c r="S115" s="4614"/>
      <c r="T115" s="2988"/>
      <c r="U115" s="2386" t="s">
        <v>1954</v>
      </c>
      <c r="V115" s="1038" t="s">
        <v>1955</v>
      </c>
      <c r="W115" s="956">
        <v>100000000</v>
      </c>
      <c r="X115" s="957">
        <v>0</v>
      </c>
      <c r="Y115" s="930">
        <v>0</v>
      </c>
      <c r="Z115" s="4644"/>
      <c r="AA115" s="2988"/>
      <c r="AB115" s="3091"/>
      <c r="AC115" s="2862"/>
      <c r="AD115" s="3091"/>
      <c r="AE115" s="2862"/>
      <c r="AF115" s="3091"/>
      <c r="AG115" s="2862"/>
      <c r="AH115" s="3091"/>
      <c r="AI115" s="2862"/>
      <c r="AJ115" s="3091"/>
      <c r="AK115" s="2862"/>
      <c r="AL115" s="3091"/>
      <c r="AM115" s="2862"/>
      <c r="AN115" s="3091"/>
      <c r="AO115" s="2862"/>
      <c r="AP115" s="3091"/>
      <c r="AQ115" s="2862"/>
      <c r="AR115" s="3091"/>
      <c r="AS115" s="2862"/>
      <c r="AT115" s="3091"/>
      <c r="AU115" s="2862"/>
      <c r="AV115" s="3091"/>
      <c r="AW115" s="2862"/>
      <c r="AX115" s="3091"/>
      <c r="AY115" s="2862"/>
      <c r="AZ115" s="3091"/>
      <c r="BA115" s="4610"/>
      <c r="BB115" s="4610"/>
      <c r="BC115" s="3099"/>
      <c r="BD115" s="3091"/>
      <c r="BE115" s="3091"/>
      <c r="BF115" s="3082"/>
      <c r="BG115" s="2580"/>
      <c r="BH115" s="3082"/>
      <c r="BI115" s="4641"/>
      <c r="BJ115" s="4607"/>
    </row>
    <row r="116" spans="1:68" ht="65.25" customHeight="1" x14ac:dyDescent="0.2">
      <c r="A116" s="455"/>
      <c r="B116" s="948"/>
      <c r="C116" s="454"/>
      <c r="D116" s="454"/>
      <c r="E116" s="454"/>
      <c r="F116" s="949"/>
      <c r="G116" s="948"/>
      <c r="H116" s="454"/>
      <c r="I116" s="949"/>
      <c r="J116" s="2707">
        <v>172</v>
      </c>
      <c r="K116" s="3054" t="s">
        <v>1956</v>
      </c>
      <c r="L116" s="2707" t="s">
        <v>146</v>
      </c>
      <c r="M116" s="2707">
        <v>12</v>
      </c>
      <c r="N116" s="2821">
        <v>12</v>
      </c>
      <c r="O116" s="2605" t="s">
        <v>1957</v>
      </c>
      <c r="P116" s="2600">
        <v>157</v>
      </c>
      <c r="Q116" s="3054" t="s">
        <v>1958</v>
      </c>
      <c r="R116" s="3098">
        <v>1</v>
      </c>
      <c r="S116" s="4613">
        <v>310000000</v>
      </c>
      <c r="T116" s="2605" t="s">
        <v>1959</v>
      </c>
      <c r="U116" s="2386" t="s">
        <v>1960</v>
      </c>
      <c r="V116" s="3054" t="s">
        <v>1961</v>
      </c>
      <c r="W116" s="4613">
        <v>310000000</v>
      </c>
      <c r="X116" s="4003">
        <v>310000000</v>
      </c>
      <c r="Y116" s="4655">
        <v>310000000</v>
      </c>
      <c r="Z116" s="2625" t="s">
        <v>1962</v>
      </c>
      <c r="AA116" s="2605" t="s">
        <v>1963</v>
      </c>
      <c r="AB116" s="3090">
        <v>64149</v>
      </c>
      <c r="AC116" s="2826">
        <f>SUM(AB116*1)</f>
        <v>64149</v>
      </c>
      <c r="AD116" s="3090">
        <v>72224</v>
      </c>
      <c r="AE116" s="2826">
        <f>SUM(AD116*1)</f>
        <v>72224</v>
      </c>
      <c r="AF116" s="3090">
        <v>27477</v>
      </c>
      <c r="AG116" s="2826">
        <f>SUM(AF116*1)</f>
        <v>27477</v>
      </c>
      <c r="AH116" s="3090">
        <v>86843</v>
      </c>
      <c r="AI116" s="2826">
        <f>SUM(AH116*1)</f>
        <v>86843</v>
      </c>
      <c r="AJ116" s="3090">
        <v>236429</v>
      </c>
      <c r="AK116" s="2826">
        <f>SUM(AJ116*1)</f>
        <v>236429</v>
      </c>
      <c r="AL116" s="3090">
        <v>75612</v>
      </c>
      <c r="AM116" s="2826">
        <f>SUM(AL116*1)</f>
        <v>75612</v>
      </c>
      <c r="AN116" s="3090">
        <v>13208</v>
      </c>
      <c r="AO116" s="2826">
        <f>SUM(AN116*1)</f>
        <v>13208</v>
      </c>
      <c r="AP116" s="3090">
        <v>2145</v>
      </c>
      <c r="AQ116" s="2826">
        <f>SUM(AP116*1)</f>
        <v>2145</v>
      </c>
      <c r="AR116" s="3090">
        <v>413</v>
      </c>
      <c r="AS116" s="2826">
        <f>SUM(AR116*1)</f>
        <v>413</v>
      </c>
      <c r="AT116" s="3090">
        <v>520</v>
      </c>
      <c r="AU116" s="2826">
        <f>SUM(AT116*1)</f>
        <v>520</v>
      </c>
      <c r="AV116" s="3090">
        <v>16897</v>
      </c>
      <c r="AW116" s="2826">
        <f>SUM(AV116*1)</f>
        <v>16897</v>
      </c>
      <c r="AX116" s="3090">
        <v>75612</v>
      </c>
      <c r="AY116" s="2826">
        <f>SUM(AX116*1)</f>
        <v>75612</v>
      </c>
      <c r="AZ116" s="3090">
        <v>2</v>
      </c>
      <c r="BA116" s="4608">
        <f>SUM(X116)</f>
        <v>310000000</v>
      </c>
      <c r="BB116" s="4608">
        <f>SUM(Y116)</f>
        <v>310000000</v>
      </c>
      <c r="BC116" s="3098">
        <f>BB116/BA116</f>
        <v>1</v>
      </c>
      <c r="BD116" s="3090" t="s">
        <v>1962</v>
      </c>
      <c r="BE116" s="3090" t="s">
        <v>1908</v>
      </c>
      <c r="BF116" s="3080">
        <v>42583</v>
      </c>
      <c r="BG116" s="2578">
        <v>42583</v>
      </c>
      <c r="BH116" s="3080">
        <v>42735</v>
      </c>
      <c r="BI116" s="4639">
        <v>42735</v>
      </c>
      <c r="BJ116" s="4607" t="s">
        <v>1687</v>
      </c>
    </row>
    <row r="117" spans="1:68" ht="59.25" customHeight="1" x14ac:dyDescent="0.2">
      <c r="A117" s="455"/>
      <c r="B117" s="948"/>
      <c r="C117" s="454"/>
      <c r="D117" s="454"/>
      <c r="E117" s="454"/>
      <c r="F117" s="949"/>
      <c r="G117" s="1065"/>
      <c r="H117" s="463"/>
      <c r="I117" s="954"/>
      <c r="J117" s="2709"/>
      <c r="K117" s="3056"/>
      <c r="L117" s="2709"/>
      <c r="M117" s="2709"/>
      <c r="N117" s="2823"/>
      <c r="O117" s="2988"/>
      <c r="P117" s="2636"/>
      <c r="Q117" s="3056"/>
      <c r="R117" s="3099"/>
      <c r="S117" s="4614"/>
      <c r="T117" s="2988"/>
      <c r="U117" s="2386" t="s">
        <v>1964</v>
      </c>
      <c r="V117" s="3056"/>
      <c r="W117" s="4614"/>
      <c r="X117" s="4004"/>
      <c r="Y117" s="4656"/>
      <c r="Z117" s="4634"/>
      <c r="AA117" s="2988"/>
      <c r="AB117" s="3091"/>
      <c r="AC117" s="2862"/>
      <c r="AD117" s="3091"/>
      <c r="AE117" s="2862"/>
      <c r="AF117" s="3091"/>
      <c r="AG117" s="2862"/>
      <c r="AH117" s="3091"/>
      <c r="AI117" s="2862"/>
      <c r="AJ117" s="3091"/>
      <c r="AK117" s="2862"/>
      <c r="AL117" s="3091"/>
      <c r="AM117" s="2862"/>
      <c r="AN117" s="3091"/>
      <c r="AO117" s="2862"/>
      <c r="AP117" s="3091"/>
      <c r="AQ117" s="2862"/>
      <c r="AR117" s="3091"/>
      <c r="AS117" s="2862"/>
      <c r="AT117" s="3091"/>
      <c r="AU117" s="2862"/>
      <c r="AV117" s="3091"/>
      <c r="AW117" s="2862"/>
      <c r="AX117" s="3091"/>
      <c r="AY117" s="2862"/>
      <c r="AZ117" s="3091"/>
      <c r="BA117" s="4610"/>
      <c r="BB117" s="4610"/>
      <c r="BC117" s="3099"/>
      <c r="BD117" s="3091"/>
      <c r="BE117" s="3091"/>
      <c r="BF117" s="3082"/>
      <c r="BG117" s="2580"/>
      <c r="BH117" s="3082"/>
      <c r="BI117" s="4641"/>
      <c r="BJ117" s="4607"/>
    </row>
    <row r="118" spans="1:68" ht="36" customHeight="1" x14ac:dyDescent="0.2">
      <c r="A118" s="916"/>
      <c r="B118" s="925"/>
      <c r="C118" s="519"/>
      <c r="D118" s="519"/>
      <c r="E118" s="519"/>
      <c r="F118" s="926"/>
      <c r="G118" s="920">
        <v>53</v>
      </c>
      <c r="H118" s="50" t="s">
        <v>1965</v>
      </c>
      <c r="I118" s="50"/>
      <c r="J118" s="1376"/>
      <c r="K118" s="412"/>
      <c r="L118" s="2520"/>
      <c r="M118" s="2520"/>
      <c r="N118" s="643"/>
      <c r="O118" s="412"/>
      <c r="P118" s="2520"/>
      <c r="Q118" s="412"/>
      <c r="R118" s="2520"/>
      <c r="S118" s="412"/>
      <c r="T118" s="412"/>
      <c r="U118" s="412"/>
      <c r="V118" s="412"/>
      <c r="W118" s="412"/>
      <c r="X118" s="947"/>
      <c r="Y118" s="921"/>
      <c r="Z118" s="2519"/>
      <c r="AA118" s="412"/>
      <c r="AB118" s="412"/>
      <c r="AC118" s="921"/>
      <c r="AD118" s="412"/>
      <c r="AE118" s="921"/>
      <c r="AF118" s="412"/>
      <c r="AG118" s="921"/>
      <c r="AH118" s="412"/>
      <c r="AI118" s="921"/>
      <c r="AJ118" s="412"/>
      <c r="AK118" s="921"/>
      <c r="AL118" s="412"/>
      <c r="AM118" s="921"/>
      <c r="AN118" s="412"/>
      <c r="AO118" s="921"/>
      <c r="AP118" s="412"/>
      <c r="AQ118" s="921"/>
      <c r="AR118" s="412"/>
      <c r="AS118" s="921"/>
      <c r="AT118" s="412"/>
      <c r="AU118" s="921"/>
      <c r="AV118" s="412"/>
      <c r="AW118" s="921"/>
      <c r="AX118" s="412"/>
      <c r="AY118" s="921"/>
      <c r="AZ118" s="412"/>
      <c r="BA118" s="1553"/>
      <c r="BB118" s="1553"/>
      <c r="BC118" s="943"/>
      <c r="BD118" s="412"/>
      <c r="BE118" s="412"/>
      <c r="BF118" s="50"/>
      <c r="BG118" s="411"/>
      <c r="BH118" s="50"/>
      <c r="BI118" s="411"/>
      <c r="BJ118" s="657"/>
      <c r="BK118" s="1"/>
      <c r="BL118" s="1"/>
      <c r="BM118" s="1"/>
      <c r="BN118" s="1"/>
      <c r="BO118" s="1"/>
      <c r="BP118" s="1"/>
    </row>
    <row r="119" spans="1:68" ht="57" x14ac:dyDescent="0.2">
      <c r="A119" s="924"/>
      <c r="B119" s="931"/>
      <c r="C119" s="689"/>
      <c r="D119" s="689"/>
      <c r="E119" s="689"/>
      <c r="F119" s="932"/>
      <c r="G119" s="927"/>
      <c r="H119" s="928"/>
      <c r="I119" s="929"/>
      <c r="J119" s="2707">
        <v>173</v>
      </c>
      <c r="K119" s="3054" t="s">
        <v>1966</v>
      </c>
      <c r="L119" s="2707" t="s">
        <v>146</v>
      </c>
      <c r="M119" s="2707">
        <v>7</v>
      </c>
      <c r="N119" s="4226">
        <v>0</v>
      </c>
      <c r="O119" s="2605" t="s">
        <v>1967</v>
      </c>
      <c r="P119" s="2600">
        <v>158</v>
      </c>
      <c r="Q119" s="4657" t="s">
        <v>1968</v>
      </c>
      <c r="R119" s="3098">
        <v>0.65</v>
      </c>
      <c r="S119" s="4613">
        <v>34404000</v>
      </c>
      <c r="T119" s="2605" t="s">
        <v>1969</v>
      </c>
      <c r="U119" s="2386" t="s">
        <v>1970</v>
      </c>
      <c r="V119" s="2386" t="s">
        <v>1971</v>
      </c>
      <c r="W119" s="956">
        <v>12500000</v>
      </c>
      <c r="X119" s="1066">
        <v>0</v>
      </c>
      <c r="Y119" s="1067">
        <v>0</v>
      </c>
      <c r="Z119" s="2625" t="s">
        <v>1936</v>
      </c>
      <c r="AA119" s="2605" t="s">
        <v>1930</v>
      </c>
      <c r="AB119" s="3090">
        <v>64149</v>
      </c>
      <c r="AC119" s="2826">
        <v>0</v>
      </c>
      <c r="AD119" s="3090">
        <v>72224</v>
      </c>
      <c r="AE119" s="2826">
        <v>0</v>
      </c>
      <c r="AF119" s="3090">
        <v>27477</v>
      </c>
      <c r="AG119" s="2826">
        <v>0</v>
      </c>
      <c r="AH119" s="3090">
        <v>86843</v>
      </c>
      <c r="AI119" s="2826">
        <v>0</v>
      </c>
      <c r="AJ119" s="3090">
        <v>236429</v>
      </c>
      <c r="AK119" s="2826">
        <v>0</v>
      </c>
      <c r="AL119" s="3090">
        <v>75612</v>
      </c>
      <c r="AM119" s="2826">
        <v>0</v>
      </c>
      <c r="AN119" s="3090">
        <v>13208</v>
      </c>
      <c r="AO119" s="2826">
        <v>0</v>
      </c>
      <c r="AP119" s="3090">
        <v>2145</v>
      </c>
      <c r="AQ119" s="2826"/>
      <c r="AR119" s="3090">
        <v>413</v>
      </c>
      <c r="AS119" s="2826"/>
      <c r="AT119" s="3090">
        <v>520</v>
      </c>
      <c r="AU119" s="2826">
        <v>0</v>
      </c>
      <c r="AV119" s="3090">
        <v>16897</v>
      </c>
      <c r="AW119" s="2826">
        <v>0</v>
      </c>
      <c r="AX119" s="3090">
        <v>75612</v>
      </c>
      <c r="AY119" s="2826">
        <v>0</v>
      </c>
      <c r="AZ119" s="3090">
        <v>0</v>
      </c>
      <c r="BA119" s="4608">
        <v>0</v>
      </c>
      <c r="BB119" s="4608">
        <v>0</v>
      </c>
      <c r="BC119" s="3098">
        <v>0</v>
      </c>
      <c r="BD119" s="3090" t="s">
        <v>1936</v>
      </c>
      <c r="BE119" s="3090" t="s">
        <v>1908</v>
      </c>
      <c r="BF119" s="3080">
        <v>42583</v>
      </c>
      <c r="BG119" s="2578">
        <v>42583</v>
      </c>
      <c r="BH119" s="3080">
        <v>42735</v>
      </c>
      <c r="BI119" s="4639">
        <v>42735</v>
      </c>
      <c r="BJ119" s="4607" t="s">
        <v>1687</v>
      </c>
    </row>
    <row r="120" spans="1:68" ht="43.5" customHeight="1" x14ac:dyDescent="0.2">
      <c r="A120" s="924"/>
      <c r="B120" s="931"/>
      <c r="C120" s="689"/>
      <c r="D120" s="689"/>
      <c r="E120" s="689"/>
      <c r="F120" s="932"/>
      <c r="G120" s="931"/>
      <c r="H120" s="689"/>
      <c r="I120" s="932"/>
      <c r="J120" s="2708"/>
      <c r="K120" s="3055"/>
      <c r="L120" s="2708"/>
      <c r="M120" s="2708"/>
      <c r="N120" s="4226"/>
      <c r="O120" s="2987"/>
      <c r="P120" s="2601"/>
      <c r="Q120" s="4658"/>
      <c r="R120" s="3234"/>
      <c r="S120" s="4615"/>
      <c r="T120" s="2987"/>
      <c r="U120" s="3054" t="s">
        <v>1972</v>
      </c>
      <c r="V120" s="1038" t="s">
        <v>1973</v>
      </c>
      <c r="W120" s="956">
        <v>12500000</v>
      </c>
      <c r="X120" s="957">
        <v>0</v>
      </c>
      <c r="Y120" s="930">
        <v>0</v>
      </c>
      <c r="Z120" s="4633"/>
      <c r="AA120" s="2987"/>
      <c r="AB120" s="4007"/>
      <c r="AC120" s="2827"/>
      <c r="AD120" s="4007"/>
      <c r="AE120" s="2827"/>
      <c r="AF120" s="4007"/>
      <c r="AG120" s="2827"/>
      <c r="AH120" s="4007"/>
      <c r="AI120" s="2827"/>
      <c r="AJ120" s="4007"/>
      <c r="AK120" s="2827"/>
      <c r="AL120" s="4007"/>
      <c r="AM120" s="2827"/>
      <c r="AN120" s="4007"/>
      <c r="AO120" s="2827"/>
      <c r="AP120" s="4007"/>
      <c r="AQ120" s="2827"/>
      <c r="AR120" s="4007"/>
      <c r="AS120" s="2827"/>
      <c r="AT120" s="4007"/>
      <c r="AU120" s="2827"/>
      <c r="AV120" s="4007"/>
      <c r="AW120" s="2827"/>
      <c r="AX120" s="4007"/>
      <c r="AY120" s="2827"/>
      <c r="AZ120" s="4007"/>
      <c r="BA120" s="4609"/>
      <c r="BB120" s="4609"/>
      <c r="BC120" s="3234"/>
      <c r="BD120" s="4007"/>
      <c r="BE120" s="4007"/>
      <c r="BF120" s="3081"/>
      <c r="BG120" s="2579"/>
      <c r="BH120" s="3081"/>
      <c r="BI120" s="4640"/>
      <c r="BJ120" s="4607"/>
    </row>
    <row r="121" spans="1:68" ht="52.5" customHeight="1" x14ac:dyDescent="0.2">
      <c r="A121" s="924"/>
      <c r="B121" s="931"/>
      <c r="C121" s="689"/>
      <c r="D121" s="689"/>
      <c r="E121" s="689"/>
      <c r="F121" s="932"/>
      <c r="G121" s="931"/>
      <c r="H121" s="689"/>
      <c r="I121" s="932"/>
      <c r="J121" s="2708"/>
      <c r="K121" s="3055"/>
      <c r="L121" s="2708"/>
      <c r="M121" s="2708"/>
      <c r="N121" s="4226"/>
      <c r="O121" s="2987"/>
      <c r="P121" s="2601"/>
      <c r="Q121" s="4658"/>
      <c r="R121" s="3234"/>
      <c r="S121" s="4615"/>
      <c r="T121" s="2987"/>
      <c r="U121" s="3055"/>
      <c r="V121" s="2199" t="s">
        <v>1974</v>
      </c>
      <c r="W121" s="2508">
        <v>9404000</v>
      </c>
      <c r="X121" s="957">
        <v>0</v>
      </c>
      <c r="Y121" s="930">
        <v>0</v>
      </c>
      <c r="Z121" s="4633"/>
      <c r="AA121" s="2987"/>
      <c r="AB121" s="4007"/>
      <c r="AC121" s="2827"/>
      <c r="AD121" s="4007"/>
      <c r="AE121" s="2827"/>
      <c r="AF121" s="4007"/>
      <c r="AG121" s="2827"/>
      <c r="AH121" s="4007"/>
      <c r="AI121" s="2827"/>
      <c r="AJ121" s="4007"/>
      <c r="AK121" s="2827"/>
      <c r="AL121" s="4007"/>
      <c r="AM121" s="2827"/>
      <c r="AN121" s="4007"/>
      <c r="AO121" s="2827"/>
      <c r="AP121" s="4007"/>
      <c r="AQ121" s="2827"/>
      <c r="AR121" s="4007"/>
      <c r="AS121" s="2827"/>
      <c r="AT121" s="4007"/>
      <c r="AU121" s="2827"/>
      <c r="AV121" s="4007"/>
      <c r="AW121" s="2827"/>
      <c r="AX121" s="4007"/>
      <c r="AY121" s="2827"/>
      <c r="AZ121" s="4007"/>
      <c r="BA121" s="4609"/>
      <c r="BB121" s="4609"/>
      <c r="BC121" s="3234"/>
      <c r="BD121" s="4007"/>
      <c r="BE121" s="4007"/>
      <c r="BF121" s="3081"/>
      <c r="BG121" s="2579"/>
      <c r="BH121" s="3081"/>
      <c r="BI121" s="4640"/>
      <c r="BJ121" s="4607"/>
    </row>
    <row r="122" spans="1:68" ht="72" customHeight="1" x14ac:dyDescent="0.2">
      <c r="A122" s="2106"/>
      <c r="B122" s="2221"/>
      <c r="C122" s="2208"/>
      <c r="D122" s="2208"/>
      <c r="E122" s="2208"/>
      <c r="F122" s="2207"/>
      <c r="G122" s="2222"/>
      <c r="H122" s="2198"/>
      <c r="I122" s="2223"/>
      <c r="J122" s="2107">
        <v>174</v>
      </c>
      <c r="K122" s="2386" t="s">
        <v>1975</v>
      </c>
      <c r="L122" s="2107" t="s">
        <v>146</v>
      </c>
      <c r="M122" s="2107">
        <v>150</v>
      </c>
      <c r="N122" s="2185">
        <v>150</v>
      </c>
      <c r="O122" s="2988"/>
      <c r="P122" s="2636"/>
      <c r="Q122" s="4659"/>
      <c r="R122" s="2276">
        <v>0.35</v>
      </c>
      <c r="S122" s="4614"/>
      <c r="T122" s="2988"/>
      <c r="U122" s="3056"/>
      <c r="V122" s="2386" t="s">
        <v>1976</v>
      </c>
      <c r="W122" s="956">
        <v>0</v>
      </c>
      <c r="X122" s="960">
        <v>0</v>
      </c>
      <c r="Y122" s="989">
        <v>0</v>
      </c>
      <c r="Z122" s="4634"/>
      <c r="AA122" s="2988"/>
      <c r="AB122" s="3091"/>
      <c r="AC122" s="2862"/>
      <c r="AD122" s="3091"/>
      <c r="AE122" s="2862"/>
      <c r="AF122" s="3091"/>
      <c r="AG122" s="2862"/>
      <c r="AH122" s="3091"/>
      <c r="AI122" s="2862"/>
      <c r="AJ122" s="3091"/>
      <c r="AK122" s="2862"/>
      <c r="AL122" s="3091"/>
      <c r="AM122" s="2862"/>
      <c r="AN122" s="3091"/>
      <c r="AO122" s="2862"/>
      <c r="AP122" s="3091"/>
      <c r="AQ122" s="2862"/>
      <c r="AR122" s="3091"/>
      <c r="AS122" s="2862"/>
      <c r="AT122" s="3091"/>
      <c r="AU122" s="2862"/>
      <c r="AV122" s="3091"/>
      <c r="AW122" s="2862"/>
      <c r="AX122" s="3091"/>
      <c r="AY122" s="2862"/>
      <c r="AZ122" s="3091"/>
      <c r="BA122" s="4610"/>
      <c r="BB122" s="4610"/>
      <c r="BC122" s="3099"/>
      <c r="BD122" s="3091"/>
      <c r="BE122" s="3091"/>
      <c r="BF122" s="3082"/>
      <c r="BG122" s="2580"/>
      <c r="BH122" s="3082"/>
      <c r="BI122" s="4641"/>
      <c r="BJ122" s="4607"/>
    </row>
    <row r="123" spans="1:68" ht="39.75" customHeight="1" x14ac:dyDescent="0.2">
      <c r="A123" s="916"/>
      <c r="B123" s="925"/>
      <c r="C123" s="519"/>
      <c r="D123" s="519"/>
      <c r="E123" s="519"/>
      <c r="F123" s="926"/>
      <c r="G123" s="920">
        <v>54</v>
      </c>
      <c r="H123" s="50" t="s">
        <v>1977</v>
      </c>
      <c r="I123" s="50"/>
      <c r="J123" s="1376"/>
      <c r="K123" s="412"/>
      <c r="L123" s="2520"/>
      <c r="M123" s="2520"/>
      <c r="N123" s="643"/>
      <c r="O123" s="412"/>
      <c r="P123" s="2520"/>
      <c r="Q123" s="412"/>
      <c r="R123" s="2520"/>
      <c r="S123" s="412"/>
      <c r="T123" s="412"/>
      <c r="U123" s="412"/>
      <c r="V123" s="412"/>
      <c r="W123" s="412"/>
      <c r="X123" s="921"/>
      <c r="Y123" s="921"/>
      <c r="Z123" s="2519"/>
      <c r="AA123" s="412"/>
      <c r="AB123" s="412"/>
      <c r="AC123" s="921"/>
      <c r="AD123" s="412"/>
      <c r="AE123" s="921"/>
      <c r="AF123" s="412"/>
      <c r="AG123" s="921"/>
      <c r="AH123" s="2519"/>
      <c r="AI123" s="983"/>
      <c r="AJ123" s="412"/>
      <c r="AK123" s="921"/>
      <c r="AL123" s="412"/>
      <c r="AM123" s="921"/>
      <c r="AN123" s="412"/>
      <c r="AO123" s="921"/>
      <c r="AP123" s="412"/>
      <c r="AQ123" s="921"/>
      <c r="AR123" s="2519"/>
      <c r="AS123" s="983"/>
      <c r="AT123" s="412"/>
      <c r="AU123" s="921"/>
      <c r="AV123" s="412"/>
      <c r="AW123" s="921"/>
      <c r="AX123" s="412"/>
      <c r="AY123" s="921"/>
      <c r="AZ123" s="412"/>
      <c r="BA123" s="1553"/>
      <c r="BB123" s="1553"/>
      <c r="BC123" s="943"/>
      <c r="BD123" s="412"/>
      <c r="BE123" s="412"/>
      <c r="BF123" s="50"/>
      <c r="BG123" s="411"/>
      <c r="BH123" s="50"/>
      <c r="BI123" s="411"/>
      <c r="BJ123" s="657"/>
      <c r="BK123" s="1"/>
      <c r="BL123" s="1"/>
      <c r="BM123" s="1"/>
      <c r="BN123" s="1"/>
      <c r="BO123" s="1"/>
      <c r="BP123" s="1"/>
    </row>
    <row r="124" spans="1:68" ht="70.5" customHeight="1" x14ac:dyDescent="0.2">
      <c r="A124" s="924"/>
      <c r="B124" s="931"/>
      <c r="C124" s="689"/>
      <c r="D124" s="689"/>
      <c r="E124" s="689"/>
      <c r="F124" s="932"/>
      <c r="G124" s="927"/>
      <c r="H124" s="928"/>
      <c r="I124" s="929"/>
      <c r="J124" s="2707">
        <v>175</v>
      </c>
      <c r="K124" s="4657" t="s">
        <v>1978</v>
      </c>
      <c r="L124" s="2707" t="s">
        <v>146</v>
      </c>
      <c r="M124" s="2707">
        <v>14</v>
      </c>
      <c r="N124" s="2821">
        <v>14</v>
      </c>
      <c r="O124" s="2605" t="s">
        <v>1979</v>
      </c>
      <c r="P124" s="2600">
        <v>159</v>
      </c>
      <c r="Q124" s="4657" t="s">
        <v>1980</v>
      </c>
      <c r="R124" s="3098">
        <v>0.75</v>
      </c>
      <c r="S124" s="4627">
        <v>223124000</v>
      </c>
      <c r="T124" s="2605" t="s">
        <v>1981</v>
      </c>
      <c r="U124" s="2199" t="s">
        <v>1982</v>
      </c>
      <c r="V124" s="2386" t="s">
        <v>1983</v>
      </c>
      <c r="W124" s="1068">
        <v>200000000</v>
      </c>
      <c r="X124" s="1069">
        <v>200000000</v>
      </c>
      <c r="Y124" s="1069">
        <v>200000000</v>
      </c>
      <c r="Z124" s="2625" t="s">
        <v>1936</v>
      </c>
      <c r="AA124" s="2605" t="s">
        <v>1930</v>
      </c>
      <c r="AB124" s="3964">
        <v>64149</v>
      </c>
      <c r="AC124" s="4660">
        <v>64149</v>
      </c>
      <c r="AD124" s="3964">
        <v>72224</v>
      </c>
      <c r="AE124" s="4660">
        <v>72224</v>
      </c>
      <c r="AF124" s="3964">
        <v>27477</v>
      </c>
      <c r="AG124" s="4660">
        <v>27477</v>
      </c>
      <c r="AH124" s="3964">
        <v>86843</v>
      </c>
      <c r="AI124" s="4660">
        <v>86843</v>
      </c>
      <c r="AJ124" s="3964">
        <v>236429</v>
      </c>
      <c r="AK124" s="4660">
        <v>236429</v>
      </c>
      <c r="AL124" s="3964">
        <v>75612</v>
      </c>
      <c r="AM124" s="4660">
        <v>75612</v>
      </c>
      <c r="AN124" s="3964">
        <v>13208</v>
      </c>
      <c r="AO124" s="4660">
        <v>13208</v>
      </c>
      <c r="AP124" s="3090">
        <v>2145</v>
      </c>
      <c r="AQ124" s="2826">
        <v>2145</v>
      </c>
      <c r="AR124" s="3964">
        <v>413</v>
      </c>
      <c r="AS124" s="4660">
        <v>413</v>
      </c>
      <c r="AT124" s="3964">
        <v>520</v>
      </c>
      <c r="AU124" s="4660">
        <v>520</v>
      </c>
      <c r="AV124" s="3964">
        <v>16897</v>
      </c>
      <c r="AW124" s="4660">
        <v>16897</v>
      </c>
      <c r="AX124" s="3964">
        <v>75612</v>
      </c>
      <c r="AY124" s="4660">
        <v>75612</v>
      </c>
      <c r="AZ124" s="3090">
        <v>2</v>
      </c>
      <c r="BA124" s="4608">
        <f>SUM(X124:X126)</f>
        <v>223124000</v>
      </c>
      <c r="BB124" s="4608">
        <f>SUM(Y124:Y126)</f>
        <v>223124000</v>
      </c>
      <c r="BC124" s="3098">
        <f>BB124/BA124</f>
        <v>1</v>
      </c>
      <c r="BD124" s="3090" t="s">
        <v>1936</v>
      </c>
      <c r="BE124" s="3090" t="s">
        <v>1908</v>
      </c>
      <c r="BF124" s="4647">
        <v>42583</v>
      </c>
      <c r="BG124" s="4648">
        <v>42583</v>
      </c>
      <c r="BH124" s="4647">
        <v>42735</v>
      </c>
      <c r="BI124" s="4649">
        <v>42735</v>
      </c>
      <c r="BJ124" s="4607" t="s">
        <v>1687</v>
      </c>
    </row>
    <row r="125" spans="1:68" ht="69.75" customHeight="1" x14ac:dyDescent="0.2">
      <c r="A125" s="924"/>
      <c r="B125" s="931"/>
      <c r="C125" s="689"/>
      <c r="D125" s="689"/>
      <c r="E125" s="689"/>
      <c r="F125" s="932"/>
      <c r="G125" s="931"/>
      <c r="H125" s="689"/>
      <c r="I125" s="932"/>
      <c r="J125" s="2709"/>
      <c r="K125" s="4659"/>
      <c r="L125" s="2709"/>
      <c r="M125" s="2709"/>
      <c r="N125" s="2822"/>
      <c r="O125" s="2987"/>
      <c r="P125" s="2601"/>
      <c r="Q125" s="4658"/>
      <c r="R125" s="3099"/>
      <c r="S125" s="4628"/>
      <c r="T125" s="2987"/>
      <c r="U125" s="3054" t="s">
        <v>1984</v>
      </c>
      <c r="V125" s="1038" t="s">
        <v>1985</v>
      </c>
      <c r="W125" s="990">
        <v>23124000</v>
      </c>
      <c r="X125" s="991">
        <v>23124000</v>
      </c>
      <c r="Y125" s="991">
        <v>23124000</v>
      </c>
      <c r="Z125" s="4633"/>
      <c r="AA125" s="2987"/>
      <c r="AB125" s="3964"/>
      <c r="AC125" s="4660"/>
      <c r="AD125" s="3964"/>
      <c r="AE125" s="4660"/>
      <c r="AF125" s="3964"/>
      <c r="AG125" s="4660"/>
      <c r="AH125" s="3964"/>
      <c r="AI125" s="4660"/>
      <c r="AJ125" s="3964"/>
      <c r="AK125" s="4660"/>
      <c r="AL125" s="3964"/>
      <c r="AM125" s="4660"/>
      <c r="AN125" s="3964"/>
      <c r="AO125" s="4660"/>
      <c r="AP125" s="4007"/>
      <c r="AQ125" s="2827"/>
      <c r="AR125" s="3964"/>
      <c r="AS125" s="4660"/>
      <c r="AT125" s="3964"/>
      <c r="AU125" s="4660"/>
      <c r="AV125" s="3964"/>
      <c r="AW125" s="4660"/>
      <c r="AX125" s="3964"/>
      <c r="AY125" s="4660"/>
      <c r="AZ125" s="4007"/>
      <c r="BA125" s="4609"/>
      <c r="BB125" s="4609"/>
      <c r="BC125" s="3234"/>
      <c r="BD125" s="4007"/>
      <c r="BE125" s="4007"/>
      <c r="BF125" s="4647"/>
      <c r="BG125" s="4648"/>
      <c r="BH125" s="4647"/>
      <c r="BI125" s="4649"/>
      <c r="BJ125" s="4607"/>
    </row>
    <row r="126" spans="1:68" ht="73.5" customHeight="1" x14ac:dyDescent="0.2">
      <c r="A126" s="2106"/>
      <c r="B126" s="2222"/>
      <c r="C126" s="2198"/>
      <c r="D126" s="2198"/>
      <c r="E126" s="2198"/>
      <c r="F126" s="2223"/>
      <c r="G126" s="2222"/>
      <c r="H126" s="2198"/>
      <c r="I126" s="2223"/>
      <c r="J126" s="2107">
        <v>176</v>
      </c>
      <c r="K126" s="2386" t="s">
        <v>1986</v>
      </c>
      <c r="L126" s="2107" t="s">
        <v>146</v>
      </c>
      <c r="M126" s="2107">
        <v>2</v>
      </c>
      <c r="N126" s="2485">
        <v>2</v>
      </c>
      <c r="O126" s="2988"/>
      <c r="P126" s="2636"/>
      <c r="Q126" s="4659"/>
      <c r="R126" s="2276">
        <v>0.25</v>
      </c>
      <c r="S126" s="4629"/>
      <c r="T126" s="2988"/>
      <c r="U126" s="3056"/>
      <c r="V126" s="1038" t="s">
        <v>1987</v>
      </c>
      <c r="W126" s="990">
        <v>0</v>
      </c>
      <c r="X126" s="991">
        <v>0</v>
      </c>
      <c r="Y126" s="991">
        <v>0</v>
      </c>
      <c r="Z126" s="4634"/>
      <c r="AA126" s="2988"/>
      <c r="AB126" s="3964"/>
      <c r="AC126" s="4660"/>
      <c r="AD126" s="3964"/>
      <c r="AE126" s="4660"/>
      <c r="AF126" s="3964"/>
      <c r="AG126" s="4660"/>
      <c r="AH126" s="3964"/>
      <c r="AI126" s="4660"/>
      <c r="AJ126" s="3964"/>
      <c r="AK126" s="4660"/>
      <c r="AL126" s="3964"/>
      <c r="AM126" s="4660"/>
      <c r="AN126" s="3964"/>
      <c r="AO126" s="4660"/>
      <c r="AP126" s="3091"/>
      <c r="AQ126" s="2862"/>
      <c r="AR126" s="3964"/>
      <c r="AS126" s="4660"/>
      <c r="AT126" s="3964"/>
      <c r="AU126" s="4660"/>
      <c r="AV126" s="3964"/>
      <c r="AW126" s="4660"/>
      <c r="AX126" s="3964"/>
      <c r="AY126" s="4660"/>
      <c r="AZ126" s="3091"/>
      <c r="BA126" s="4610"/>
      <c r="BB126" s="4610"/>
      <c r="BC126" s="3099"/>
      <c r="BD126" s="3091"/>
      <c r="BE126" s="3091"/>
      <c r="BF126" s="4647"/>
      <c r="BG126" s="4648"/>
      <c r="BH126" s="4647"/>
      <c r="BI126" s="4649"/>
      <c r="BJ126" s="4607"/>
    </row>
    <row r="127" spans="1:68" ht="33.75" customHeight="1" x14ac:dyDescent="0.2">
      <c r="A127" s="916"/>
      <c r="B127" s="1040">
        <v>15</v>
      </c>
      <c r="C127" s="456" t="s">
        <v>1988</v>
      </c>
      <c r="D127" s="456"/>
      <c r="E127" s="456"/>
      <c r="F127" s="456"/>
      <c r="G127" s="47"/>
      <c r="H127" s="47"/>
      <c r="I127" s="47"/>
      <c r="J127" s="616"/>
      <c r="K127" s="48"/>
      <c r="L127" s="49"/>
      <c r="M127" s="49"/>
      <c r="N127" s="641"/>
      <c r="O127" s="48"/>
      <c r="P127" s="49"/>
      <c r="Q127" s="48"/>
      <c r="R127" s="49"/>
      <c r="S127" s="48"/>
      <c r="T127" s="48"/>
      <c r="U127" s="48"/>
      <c r="V127" s="48"/>
      <c r="W127" s="939"/>
      <c r="X127" s="940"/>
      <c r="Y127" s="1070"/>
      <c r="Z127" s="941"/>
      <c r="AA127" s="48"/>
      <c r="AB127" s="48"/>
      <c r="AC127" s="914"/>
      <c r="AD127" s="48"/>
      <c r="AE127" s="914"/>
      <c r="AF127" s="48"/>
      <c r="AG127" s="914"/>
      <c r="AH127" s="48"/>
      <c r="AI127" s="914"/>
      <c r="AJ127" s="48"/>
      <c r="AK127" s="914"/>
      <c r="AL127" s="48"/>
      <c r="AM127" s="914"/>
      <c r="AN127" s="48"/>
      <c r="AO127" s="914"/>
      <c r="AP127" s="48"/>
      <c r="AQ127" s="914"/>
      <c r="AR127" s="48"/>
      <c r="AS127" s="914"/>
      <c r="AT127" s="48"/>
      <c r="AU127" s="914"/>
      <c r="AV127" s="48"/>
      <c r="AW127" s="914"/>
      <c r="AX127" s="48"/>
      <c r="AY127" s="914"/>
      <c r="AZ127" s="48"/>
      <c r="BA127" s="1552"/>
      <c r="BB127" s="1552"/>
      <c r="BC127" s="942"/>
      <c r="BD127" s="48"/>
      <c r="BE127" s="48"/>
      <c r="BF127" s="47"/>
      <c r="BG127" s="157"/>
      <c r="BH127" s="47"/>
      <c r="BI127" s="157"/>
      <c r="BJ127" s="666"/>
      <c r="BK127" s="1"/>
      <c r="BL127" s="1"/>
      <c r="BM127" s="1"/>
      <c r="BN127" s="1"/>
      <c r="BO127" s="1"/>
      <c r="BP127" s="1"/>
    </row>
    <row r="128" spans="1:68" ht="34.5" customHeight="1" x14ac:dyDescent="0.2">
      <c r="A128" s="916"/>
      <c r="B128" s="917"/>
      <c r="C128" s="918"/>
      <c r="D128" s="918"/>
      <c r="E128" s="918"/>
      <c r="F128" s="919"/>
      <c r="G128" s="920">
        <v>55</v>
      </c>
      <c r="H128" s="50" t="s">
        <v>1989</v>
      </c>
      <c r="I128" s="50"/>
      <c r="J128" s="1376"/>
      <c r="K128" s="412"/>
      <c r="L128" s="2520"/>
      <c r="M128" s="2520"/>
      <c r="N128" s="643"/>
      <c r="O128" s="412"/>
      <c r="P128" s="2520"/>
      <c r="Q128" s="412"/>
      <c r="R128" s="2520"/>
      <c r="S128" s="412"/>
      <c r="T128" s="412"/>
      <c r="U128" s="412"/>
      <c r="V128" s="412"/>
      <c r="W128" s="412"/>
      <c r="X128" s="921"/>
      <c r="Y128" s="921"/>
      <c r="Z128" s="2519"/>
      <c r="AA128" s="412"/>
      <c r="AB128" s="412"/>
      <c r="AC128" s="921"/>
      <c r="AD128" s="412"/>
      <c r="AE128" s="921"/>
      <c r="AF128" s="412"/>
      <c r="AG128" s="921"/>
      <c r="AH128" s="412"/>
      <c r="AI128" s="921"/>
      <c r="AJ128" s="412"/>
      <c r="AK128" s="921"/>
      <c r="AL128" s="412"/>
      <c r="AM128" s="921"/>
      <c r="AN128" s="412"/>
      <c r="AO128" s="921"/>
      <c r="AP128" s="412"/>
      <c r="AQ128" s="921"/>
      <c r="AR128" s="412"/>
      <c r="AS128" s="921"/>
      <c r="AT128" s="412"/>
      <c r="AU128" s="921"/>
      <c r="AV128" s="412"/>
      <c r="AW128" s="921"/>
      <c r="AX128" s="412"/>
      <c r="AY128" s="921"/>
      <c r="AZ128" s="412"/>
      <c r="BA128" s="1553"/>
      <c r="BB128" s="1553"/>
      <c r="BC128" s="943"/>
      <c r="BD128" s="412"/>
      <c r="BE128" s="412"/>
      <c r="BF128" s="412"/>
      <c r="BG128" s="921"/>
      <c r="BH128" s="50"/>
      <c r="BI128" s="411"/>
      <c r="BJ128" s="657"/>
      <c r="BK128" s="1"/>
      <c r="BL128" s="1"/>
      <c r="BM128" s="1"/>
      <c r="BN128" s="1"/>
      <c r="BO128" s="1"/>
      <c r="BP128" s="1"/>
    </row>
    <row r="129" spans="1:68" ht="92.25" customHeight="1" x14ac:dyDescent="0.2">
      <c r="A129" s="455"/>
      <c r="B129" s="948"/>
      <c r="C129" s="454"/>
      <c r="D129" s="454"/>
      <c r="E129" s="454"/>
      <c r="F129" s="949"/>
      <c r="G129" s="950"/>
      <c r="H129" s="950"/>
      <c r="I129" s="951"/>
      <c r="J129" s="2116">
        <v>177</v>
      </c>
      <c r="K129" s="2200" t="s">
        <v>1990</v>
      </c>
      <c r="L129" s="2116" t="s">
        <v>146</v>
      </c>
      <c r="M129" s="2116">
        <v>2</v>
      </c>
      <c r="N129" s="2485">
        <v>2</v>
      </c>
      <c r="O129" s="2605" t="s">
        <v>1991</v>
      </c>
      <c r="P129" s="2600">
        <v>160</v>
      </c>
      <c r="Q129" s="3054" t="s">
        <v>1992</v>
      </c>
      <c r="R129" s="2206">
        <v>0.1</v>
      </c>
      <c r="S129" s="3986">
        <v>160772000</v>
      </c>
      <c r="T129" s="2605" t="s">
        <v>1993</v>
      </c>
      <c r="U129" s="3054" t="s">
        <v>1994</v>
      </c>
      <c r="V129" s="675" t="s">
        <v>1995</v>
      </c>
      <c r="W129" s="1071">
        <v>0</v>
      </c>
      <c r="X129" s="1072">
        <v>0</v>
      </c>
      <c r="Y129" s="1072">
        <v>0</v>
      </c>
      <c r="Z129" s="3898" t="s">
        <v>1996</v>
      </c>
      <c r="AA129" s="2605" t="s">
        <v>1930</v>
      </c>
      <c r="AB129" s="3090">
        <v>64149</v>
      </c>
      <c r="AC129" s="2826">
        <f>SUM(AB129*0.9)</f>
        <v>57734.1</v>
      </c>
      <c r="AD129" s="3090">
        <v>72224</v>
      </c>
      <c r="AE129" s="2826">
        <f>SUM(AD129*0.9)</f>
        <v>65001.599999999999</v>
      </c>
      <c r="AF129" s="3090">
        <v>27477</v>
      </c>
      <c r="AG129" s="2826">
        <f>SUM(AF129*0.9)</f>
        <v>24729.3</v>
      </c>
      <c r="AH129" s="3090">
        <v>86843</v>
      </c>
      <c r="AI129" s="2826">
        <f>SUM(AH129*0.9)</f>
        <v>78158.7</v>
      </c>
      <c r="AJ129" s="3090">
        <v>236429</v>
      </c>
      <c r="AK129" s="2826">
        <f>SUM(AJ129*0.9)</f>
        <v>212786.1</v>
      </c>
      <c r="AL129" s="3090">
        <v>75612</v>
      </c>
      <c r="AM129" s="2826">
        <f>SUM(AL129*0.9)</f>
        <v>68050.8</v>
      </c>
      <c r="AN129" s="3090">
        <v>13208</v>
      </c>
      <c r="AO129" s="2826">
        <f>SUM(AN129*0.9)</f>
        <v>11887.2</v>
      </c>
      <c r="AP129" s="3090">
        <v>2145</v>
      </c>
      <c r="AQ129" s="2826">
        <f>SUM(AP129*0.9)</f>
        <v>1930.5</v>
      </c>
      <c r="AR129" s="3090">
        <v>413</v>
      </c>
      <c r="AS129" s="2826">
        <f>SUM(AR129*0.9)</f>
        <v>371.7</v>
      </c>
      <c r="AT129" s="3090">
        <v>520</v>
      </c>
      <c r="AU129" s="2826">
        <f>SUM(AT129*0.9)</f>
        <v>468</v>
      </c>
      <c r="AV129" s="3090">
        <v>16897</v>
      </c>
      <c r="AW129" s="2826">
        <f>SUM(AV129*0.9)</f>
        <v>15207.300000000001</v>
      </c>
      <c r="AX129" s="3090">
        <v>75612</v>
      </c>
      <c r="AY129" s="2826">
        <f>SUM(AX129*0.9)</f>
        <v>68050.8</v>
      </c>
      <c r="AZ129" s="3090">
        <v>17</v>
      </c>
      <c r="BA129" s="4608">
        <f>SUM(X129:X135)</f>
        <v>144268662</v>
      </c>
      <c r="BB129" s="4611">
        <f>SUM(Y129:Y135)</f>
        <v>144268662</v>
      </c>
      <c r="BC129" s="3098">
        <f>BB129/BA129</f>
        <v>1</v>
      </c>
      <c r="BD129" s="3090" t="s">
        <v>1996</v>
      </c>
      <c r="BE129" s="4290" t="s">
        <v>1997</v>
      </c>
      <c r="BF129" s="3080">
        <v>42583</v>
      </c>
      <c r="BG129" s="2578">
        <v>42583</v>
      </c>
      <c r="BH129" s="3080">
        <v>42735</v>
      </c>
      <c r="BI129" s="4639">
        <v>42735</v>
      </c>
      <c r="BJ129" s="4607" t="s">
        <v>1687</v>
      </c>
      <c r="BK129" s="1"/>
      <c r="BL129" s="1"/>
      <c r="BM129" s="1"/>
      <c r="BN129" s="1"/>
      <c r="BO129" s="1"/>
      <c r="BP129" s="1"/>
    </row>
    <row r="130" spans="1:68" ht="84.75" customHeight="1" x14ac:dyDescent="0.2">
      <c r="A130" s="455"/>
      <c r="B130" s="948"/>
      <c r="C130" s="454"/>
      <c r="D130" s="454"/>
      <c r="E130" s="454"/>
      <c r="F130" s="949"/>
      <c r="G130" s="454"/>
      <c r="H130" s="454"/>
      <c r="I130" s="949"/>
      <c r="J130" s="2707">
        <v>178</v>
      </c>
      <c r="K130" s="3054" t="s">
        <v>1998</v>
      </c>
      <c r="L130" s="2707" t="s">
        <v>146</v>
      </c>
      <c r="M130" s="2707">
        <v>3</v>
      </c>
      <c r="N130" s="4226">
        <v>3</v>
      </c>
      <c r="O130" s="2987"/>
      <c r="P130" s="2601"/>
      <c r="Q130" s="3055"/>
      <c r="R130" s="3098">
        <v>0.8</v>
      </c>
      <c r="S130" s="3987"/>
      <c r="T130" s="2987"/>
      <c r="U130" s="3055"/>
      <c r="V130" s="2200" t="s">
        <v>1999</v>
      </c>
      <c r="W130" s="2505">
        <v>95000000</v>
      </c>
      <c r="X130" s="930">
        <v>86763333</v>
      </c>
      <c r="Y130" s="930">
        <v>86763333</v>
      </c>
      <c r="Z130" s="3934"/>
      <c r="AA130" s="2987"/>
      <c r="AB130" s="4007"/>
      <c r="AC130" s="2827"/>
      <c r="AD130" s="4007"/>
      <c r="AE130" s="2827"/>
      <c r="AF130" s="4007"/>
      <c r="AG130" s="2827"/>
      <c r="AH130" s="4007"/>
      <c r="AI130" s="2827"/>
      <c r="AJ130" s="4007"/>
      <c r="AK130" s="2827"/>
      <c r="AL130" s="4007"/>
      <c r="AM130" s="2827"/>
      <c r="AN130" s="4007"/>
      <c r="AO130" s="2827"/>
      <c r="AP130" s="4007"/>
      <c r="AQ130" s="2827"/>
      <c r="AR130" s="4007"/>
      <c r="AS130" s="2827"/>
      <c r="AT130" s="4007"/>
      <c r="AU130" s="2827"/>
      <c r="AV130" s="4007"/>
      <c r="AW130" s="2827"/>
      <c r="AX130" s="4007"/>
      <c r="AY130" s="2827"/>
      <c r="AZ130" s="4007"/>
      <c r="BA130" s="4609"/>
      <c r="BB130" s="4619"/>
      <c r="BC130" s="3234"/>
      <c r="BD130" s="4007"/>
      <c r="BE130" s="4369"/>
      <c r="BF130" s="3081"/>
      <c r="BG130" s="2579"/>
      <c r="BH130" s="3081"/>
      <c r="BI130" s="4640"/>
      <c r="BJ130" s="4607"/>
    </row>
    <row r="131" spans="1:68" ht="69" customHeight="1" x14ac:dyDescent="0.2">
      <c r="A131" s="455"/>
      <c r="B131" s="948"/>
      <c r="C131" s="454"/>
      <c r="D131" s="454"/>
      <c r="E131" s="454"/>
      <c r="F131" s="949"/>
      <c r="G131" s="454"/>
      <c r="H131" s="454"/>
      <c r="I131" s="949"/>
      <c r="J131" s="2708"/>
      <c r="K131" s="3055"/>
      <c r="L131" s="2708"/>
      <c r="M131" s="2708"/>
      <c r="N131" s="4226"/>
      <c r="O131" s="2987"/>
      <c r="P131" s="2601"/>
      <c r="Q131" s="3055"/>
      <c r="R131" s="3234"/>
      <c r="S131" s="3987"/>
      <c r="T131" s="2987"/>
      <c r="U131" s="3055"/>
      <c r="V131" s="2386" t="s">
        <v>2000</v>
      </c>
      <c r="W131" s="997">
        <v>9600000</v>
      </c>
      <c r="X131" s="930">
        <v>6250000</v>
      </c>
      <c r="Y131" s="930">
        <v>6250000</v>
      </c>
      <c r="Z131" s="3934"/>
      <c r="AA131" s="2987"/>
      <c r="AB131" s="4007"/>
      <c r="AC131" s="2827"/>
      <c r="AD131" s="4007"/>
      <c r="AE131" s="2827"/>
      <c r="AF131" s="4007"/>
      <c r="AG131" s="2827"/>
      <c r="AH131" s="4007"/>
      <c r="AI131" s="2827"/>
      <c r="AJ131" s="4007"/>
      <c r="AK131" s="2827"/>
      <c r="AL131" s="4007"/>
      <c r="AM131" s="2827"/>
      <c r="AN131" s="4007"/>
      <c r="AO131" s="2827"/>
      <c r="AP131" s="4007"/>
      <c r="AQ131" s="2827"/>
      <c r="AR131" s="4007"/>
      <c r="AS131" s="2827"/>
      <c r="AT131" s="4007"/>
      <c r="AU131" s="2827"/>
      <c r="AV131" s="4007"/>
      <c r="AW131" s="2827"/>
      <c r="AX131" s="4007"/>
      <c r="AY131" s="2827"/>
      <c r="AZ131" s="4007"/>
      <c r="BA131" s="4609"/>
      <c r="BB131" s="4619"/>
      <c r="BC131" s="3234"/>
      <c r="BD131" s="4007"/>
      <c r="BE131" s="4369"/>
      <c r="BF131" s="3081"/>
      <c r="BG131" s="2579"/>
      <c r="BH131" s="3081"/>
      <c r="BI131" s="4640"/>
      <c r="BJ131" s="4607"/>
    </row>
    <row r="132" spans="1:68" ht="134.25" customHeight="1" x14ac:dyDescent="0.2">
      <c r="A132" s="455"/>
      <c r="B132" s="948"/>
      <c r="C132" s="454"/>
      <c r="D132" s="454"/>
      <c r="E132" s="454"/>
      <c r="F132" s="949"/>
      <c r="G132" s="454"/>
      <c r="H132" s="454"/>
      <c r="I132" s="949"/>
      <c r="J132" s="2708"/>
      <c r="K132" s="3055"/>
      <c r="L132" s="2708"/>
      <c r="M132" s="2708"/>
      <c r="N132" s="4226"/>
      <c r="O132" s="2987"/>
      <c r="P132" s="2601"/>
      <c r="Q132" s="3055"/>
      <c r="R132" s="3234"/>
      <c r="S132" s="3987"/>
      <c r="T132" s="2987"/>
      <c r="U132" s="3055"/>
      <c r="V132" s="2386" t="s">
        <v>2001</v>
      </c>
      <c r="W132" s="997">
        <v>9972000</v>
      </c>
      <c r="X132" s="930">
        <v>9972000</v>
      </c>
      <c r="Y132" s="930">
        <v>9972000</v>
      </c>
      <c r="Z132" s="3934"/>
      <c r="AA132" s="2987"/>
      <c r="AB132" s="4007"/>
      <c r="AC132" s="2827"/>
      <c r="AD132" s="4007"/>
      <c r="AE132" s="2827"/>
      <c r="AF132" s="4007"/>
      <c r="AG132" s="2827"/>
      <c r="AH132" s="4007"/>
      <c r="AI132" s="2827"/>
      <c r="AJ132" s="4007"/>
      <c r="AK132" s="2827"/>
      <c r="AL132" s="4007"/>
      <c r="AM132" s="2827"/>
      <c r="AN132" s="4007"/>
      <c r="AO132" s="2827"/>
      <c r="AP132" s="4007"/>
      <c r="AQ132" s="2827"/>
      <c r="AR132" s="4007"/>
      <c r="AS132" s="2827"/>
      <c r="AT132" s="4007"/>
      <c r="AU132" s="2827"/>
      <c r="AV132" s="4007"/>
      <c r="AW132" s="2827"/>
      <c r="AX132" s="4007"/>
      <c r="AY132" s="2827"/>
      <c r="AZ132" s="4007"/>
      <c r="BA132" s="4609"/>
      <c r="BB132" s="4619"/>
      <c r="BC132" s="3234"/>
      <c r="BD132" s="4007"/>
      <c r="BE132" s="4369"/>
      <c r="BF132" s="3081"/>
      <c r="BG132" s="2579"/>
      <c r="BH132" s="3081"/>
      <c r="BI132" s="4640"/>
      <c r="BJ132" s="4607"/>
    </row>
    <row r="133" spans="1:68" ht="90.75" customHeight="1" x14ac:dyDescent="0.2">
      <c r="A133" s="455"/>
      <c r="B133" s="948"/>
      <c r="C133" s="454"/>
      <c r="D133" s="454"/>
      <c r="E133" s="454"/>
      <c r="F133" s="949"/>
      <c r="G133" s="454"/>
      <c r="H133" s="454"/>
      <c r="I133" s="949"/>
      <c r="J133" s="2708"/>
      <c r="K133" s="3055"/>
      <c r="L133" s="2708"/>
      <c r="M133" s="2708"/>
      <c r="N133" s="4226"/>
      <c r="O133" s="2987"/>
      <c r="P133" s="2601"/>
      <c r="Q133" s="3055"/>
      <c r="R133" s="3234"/>
      <c r="S133" s="3987"/>
      <c r="T133" s="2987"/>
      <c r="U133" s="3055"/>
      <c r="V133" s="2386" t="s">
        <v>2002</v>
      </c>
      <c r="W133" s="997">
        <v>19200000</v>
      </c>
      <c r="X133" s="930">
        <v>18200000</v>
      </c>
      <c r="Y133" s="930">
        <v>18200000</v>
      </c>
      <c r="Z133" s="3934"/>
      <c r="AA133" s="2987"/>
      <c r="AB133" s="4007"/>
      <c r="AC133" s="2827"/>
      <c r="AD133" s="4007"/>
      <c r="AE133" s="2827"/>
      <c r="AF133" s="4007"/>
      <c r="AG133" s="2827"/>
      <c r="AH133" s="4007"/>
      <c r="AI133" s="2827"/>
      <c r="AJ133" s="4007"/>
      <c r="AK133" s="2827"/>
      <c r="AL133" s="4007"/>
      <c r="AM133" s="2827"/>
      <c r="AN133" s="4007"/>
      <c r="AO133" s="2827"/>
      <c r="AP133" s="4007"/>
      <c r="AQ133" s="2827"/>
      <c r="AR133" s="4007"/>
      <c r="AS133" s="2827"/>
      <c r="AT133" s="4007"/>
      <c r="AU133" s="2827"/>
      <c r="AV133" s="4007"/>
      <c r="AW133" s="2827"/>
      <c r="AX133" s="4007"/>
      <c r="AY133" s="2827"/>
      <c r="AZ133" s="4007"/>
      <c r="BA133" s="4609"/>
      <c r="BB133" s="4619"/>
      <c r="BC133" s="3234"/>
      <c r="BD133" s="4007"/>
      <c r="BE133" s="4369"/>
      <c r="BF133" s="3081"/>
      <c r="BG133" s="2579"/>
      <c r="BH133" s="3081"/>
      <c r="BI133" s="4640"/>
      <c r="BJ133" s="4607"/>
    </row>
    <row r="134" spans="1:68" ht="86.25" customHeight="1" x14ac:dyDescent="0.2">
      <c r="A134" s="455"/>
      <c r="B134" s="948"/>
      <c r="C134" s="454"/>
      <c r="D134" s="454"/>
      <c r="E134" s="454"/>
      <c r="F134" s="949"/>
      <c r="G134" s="454"/>
      <c r="H134" s="454"/>
      <c r="I134" s="949"/>
      <c r="J134" s="2709"/>
      <c r="K134" s="3056"/>
      <c r="L134" s="2709"/>
      <c r="M134" s="2709"/>
      <c r="N134" s="4226"/>
      <c r="O134" s="2987"/>
      <c r="P134" s="2601"/>
      <c r="Q134" s="3055"/>
      <c r="R134" s="3099"/>
      <c r="S134" s="3987"/>
      <c r="T134" s="2987"/>
      <c r="U134" s="3055"/>
      <c r="V134" s="2199" t="s">
        <v>2003</v>
      </c>
      <c r="W134" s="2504">
        <v>27000000</v>
      </c>
      <c r="X134" s="930">
        <v>23083329</v>
      </c>
      <c r="Y134" s="930">
        <v>23083329</v>
      </c>
      <c r="Z134" s="3934"/>
      <c r="AA134" s="2987"/>
      <c r="AB134" s="4007"/>
      <c r="AC134" s="2827"/>
      <c r="AD134" s="4007"/>
      <c r="AE134" s="2827"/>
      <c r="AF134" s="4007"/>
      <c r="AG134" s="2827"/>
      <c r="AH134" s="4007"/>
      <c r="AI134" s="2827"/>
      <c r="AJ134" s="4007"/>
      <c r="AK134" s="2827"/>
      <c r="AL134" s="4007"/>
      <c r="AM134" s="2827"/>
      <c r="AN134" s="4007"/>
      <c r="AO134" s="2827"/>
      <c r="AP134" s="4007"/>
      <c r="AQ134" s="2827"/>
      <c r="AR134" s="4007"/>
      <c r="AS134" s="2827"/>
      <c r="AT134" s="4007"/>
      <c r="AU134" s="2827"/>
      <c r="AV134" s="4007"/>
      <c r="AW134" s="2827"/>
      <c r="AX134" s="4007"/>
      <c r="AY134" s="2827"/>
      <c r="AZ134" s="4007"/>
      <c r="BA134" s="4609"/>
      <c r="BB134" s="4619"/>
      <c r="BC134" s="3234"/>
      <c r="BD134" s="4007"/>
      <c r="BE134" s="4369"/>
      <c r="BF134" s="3081"/>
      <c r="BG134" s="2579"/>
      <c r="BH134" s="3081"/>
      <c r="BI134" s="4640"/>
      <c r="BJ134" s="4607"/>
    </row>
    <row r="135" spans="1:68" ht="64.5" customHeight="1" thickBot="1" x14ac:dyDescent="0.25">
      <c r="A135" s="455"/>
      <c r="B135" s="948"/>
      <c r="C135" s="454"/>
      <c r="D135" s="454"/>
      <c r="E135" s="454"/>
      <c r="F135" s="949"/>
      <c r="G135" s="454"/>
      <c r="H135" s="454"/>
      <c r="I135" s="949"/>
      <c r="J135" s="2105">
        <v>179</v>
      </c>
      <c r="K135" s="2199" t="s">
        <v>2004</v>
      </c>
      <c r="L135" s="2105" t="s">
        <v>146</v>
      </c>
      <c r="M135" s="2105">
        <v>4</v>
      </c>
      <c r="N135" s="2184">
        <v>4</v>
      </c>
      <c r="O135" s="2987"/>
      <c r="P135" s="2601"/>
      <c r="Q135" s="3055"/>
      <c r="R135" s="2205">
        <v>0.1</v>
      </c>
      <c r="S135" s="3987"/>
      <c r="T135" s="2987"/>
      <c r="U135" s="3055"/>
      <c r="V135" s="2199" t="s">
        <v>2005</v>
      </c>
      <c r="W135" s="2504">
        <v>0</v>
      </c>
      <c r="X135" s="1067">
        <v>0</v>
      </c>
      <c r="Y135" s="1067">
        <v>0</v>
      </c>
      <c r="Z135" s="3934"/>
      <c r="AA135" s="2987"/>
      <c r="AB135" s="4007"/>
      <c r="AC135" s="2827"/>
      <c r="AD135" s="4007"/>
      <c r="AE135" s="2827"/>
      <c r="AF135" s="4007"/>
      <c r="AG135" s="2827"/>
      <c r="AH135" s="4007"/>
      <c r="AI135" s="2827"/>
      <c r="AJ135" s="4007"/>
      <c r="AK135" s="2827"/>
      <c r="AL135" s="4007"/>
      <c r="AM135" s="2827"/>
      <c r="AN135" s="4007"/>
      <c r="AO135" s="2827"/>
      <c r="AP135" s="4007"/>
      <c r="AQ135" s="2827"/>
      <c r="AR135" s="4007"/>
      <c r="AS135" s="2827"/>
      <c r="AT135" s="4007"/>
      <c r="AU135" s="2827"/>
      <c r="AV135" s="4007"/>
      <c r="AW135" s="2827"/>
      <c r="AX135" s="4007"/>
      <c r="AY135" s="2827"/>
      <c r="AZ135" s="4007"/>
      <c r="BA135" s="4609"/>
      <c r="BB135" s="4619"/>
      <c r="BC135" s="3234"/>
      <c r="BD135" s="4007"/>
      <c r="BE135" s="4369"/>
      <c r="BF135" s="3081"/>
      <c r="BG135" s="2579"/>
      <c r="BH135" s="3081"/>
      <c r="BI135" s="4640"/>
      <c r="BJ135" s="3104"/>
    </row>
    <row r="136" spans="1:68" ht="3" customHeight="1" x14ac:dyDescent="0.2">
      <c r="A136" s="2018"/>
      <c r="B136" s="2019"/>
      <c r="C136" s="2019"/>
      <c r="D136" s="2019"/>
      <c r="E136" s="2019"/>
      <c r="F136" s="2019"/>
      <c r="G136" s="2019"/>
      <c r="H136" s="2019"/>
      <c r="I136" s="2019"/>
      <c r="J136" s="2025"/>
      <c r="K136" s="2019"/>
      <c r="L136" s="2019"/>
      <c r="M136" s="2019"/>
      <c r="N136" s="2069"/>
      <c r="O136" s="2019"/>
      <c r="P136" s="2020"/>
      <c r="Q136" s="2021"/>
      <c r="R136" s="2019"/>
      <c r="S136" s="2019" t="s">
        <v>197</v>
      </c>
      <c r="T136" s="2019"/>
      <c r="U136" s="2019"/>
      <c r="V136" s="2022"/>
      <c r="W136" s="2021"/>
      <c r="X136" s="2023"/>
      <c r="Y136" s="2023"/>
      <c r="Z136" s="2024"/>
      <c r="AA136" s="2025"/>
      <c r="AB136" s="2026"/>
      <c r="AC136" s="2027"/>
      <c r="AD136" s="2026"/>
      <c r="AE136" s="2027"/>
      <c r="AF136" s="2026"/>
      <c r="AG136" s="2027"/>
      <c r="AH136" s="2026"/>
      <c r="AI136" s="2027"/>
      <c r="AJ136" s="2026"/>
      <c r="AK136" s="2027"/>
      <c r="AL136" s="2026"/>
      <c r="AM136" s="2027"/>
      <c r="AN136" s="2026"/>
      <c r="AO136" s="2027"/>
      <c r="AP136" s="2026"/>
      <c r="AQ136" s="2027"/>
      <c r="AR136" s="2026"/>
      <c r="AS136" s="2027"/>
      <c r="AT136" s="2026"/>
      <c r="AU136" s="2027"/>
      <c r="AV136" s="2026"/>
      <c r="AW136" s="2027"/>
      <c r="AX136" s="2026"/>
      <c r="AY136" s="2027"/>
      <c r="AZ136" s="2028"/>
      <c r="BA136" s="2029"/>
      <c r="BB136" s="2029"/>
      <c r="BC136" s="2030"/>
      <c r="BD136" s="2026"/>
      <c r="BE136" s="2026"/>
      <c r="BF136" s="2031"/>
      <c r="BG136" s="2032"/>
      <c r="BH136" s="2033"/>
      <c r="BI136" s="2034"/>
      <c r="BJ136" s="2035"/>
    </row>
    <row r="137" spans="1:68" ht="15.75" thickBot="1" x14ac:dyDescent="0.25">
      <c r="A137" s="2036"/>
      <c r="B137" s="2037"/>
      <c r="C137" s="2037"/>
      <c r="D137" s="2037"/>
      <c r="E137" s="2037"/>
      <c r="F137" s="2037"/>
      <c r="G137" s="2037"/>
      <c r="H137" s="2037"/>
      <c r="I137" s="2037"/>
      <c r="J137" s="2075"/>
      <c r="K137" s="2037"/>
      <c r="L137" s="2037"/>
      <c r="M137" s="2037"/>
      <c r="N137" s="2070"/>
      <c r="O137" s="2037"/>
      <c r="P137" s="2038"/>
      <c r="Q137" s="2037"/>
      <c r="R137" s="2037"/>
      <c r="S137" s="2039">
        <f>SUM(S17:S135)</f>
        <v>43516923132</v>
      </c>
      <c r="T137" s="1850"/>
      <c r="U137" s="1850"/>
      <c r="V137" s="1850"/>
      <c r="W137" s="2040">
        <f>SUM(W17:W135)</f>
        <v>43516923041.400002</v>
      </c>
      <c r="X137" s="2041">
        <f>SUM(X17:X135)</f>
        <v>32613937305</v>
      </c>
      <c r="Y137" s="2041">
        <f>SUM(Y17:Y135)</f>
        <v>29624369321</v>
      </c>
      <c r="Z137" s="1447"/>
      <c r="AA137" s="1850"/>
      <c r="AB137" s="2042"/>
      <c r="AC137" s="2043"/>
      <c r="AD137" s="2042"/>
      <c r="AE137" s="2043"/>
      <c r="AF137" s="2042"/>
      <c r="AG137" s="2043"/>
      <c r="AH137" s="2042"/>
      <c r="AI137" s="2043"/>
      <c r="AJ137" s="2042"/>
      <c r="AK137" s="2043"/>
      <c r="AL137" s="2042"/>
      <c r="AM137" s="2043"/>
      <c r="AN137" s="2042"/>
      <c r="AO137" s="2043"/>
      <c r="AP137" s="2042"/>
      <c r="AQ137" s="2043"/>
      <c r="AR137" s="2042"/>
      <c r="AS137" s="2043"/>
      <c r="AT137" s="2042"/>
      <c r="AU137" s="2043"/>
      <c r="AV137" s="2042"/>
      <c r="AW137" s="2043"/>
      <c r="AX137" s="2042"/>
      <c r="AY137" s="2043"/>
      <c r="AZ137" s="1851"/>
      <c r="BA137" s="2044">
        <f>SUM(BA17:BA136)</f>
        <v>32613937305</v>
      </c>
      <c r="BB137" s="2044">
        <f>SUM(BB17:BB136)</f>
        <v>29624369321</v>
      </c>
      <c r="BC137" s="2045"/>
      <c r="BD137" s="2042"/>
      <c r="BE137" s="2042"/>
      <c r="BF137" s="722"/>
      <c r="BG137" s="723"/>
      <c r="BH137" s="1852"/>
      <c r="BI137" s="2046"/>
      <c r="BJ137" s="1853"/>
    </row>
    <row r="138" spans="1:68" x14ac:dyDescent="0.2">
      <c r="A138" s="413"/>
      <c r="B138" s="413"/>
      <c r="C138" s="413"/>
      <c r="D138" s="413"/>
      <c r="E138" s="413"/>
      <c r="F138" s="413"/>
      <c r="G138" s="413"/>
      <c r="H138" s="413"/>
      <c r="I138" s="413"/>
      <c r="J138" s="413"/>
      <c r="K138" s="1999"/>
      <c r="L138" s="2000"/>
      <c r="M138" s="2000"/>
      <c r="N138" s="2001"/>
      <c r="O138" s="1999"/>
      <c r="P138" s="2000"/>
      <c r="Q138" s="1999"/>
      <c r="R138" s="2000"/>
      <c r="S138" s="1999"/>
      <c r="T138" s="1999"/>
      <c r="U138" s="1999"/>
      <c r="V138" s="1999"/>
      <c r="W138" s="2002"/>
      <c r="X138" s="2003"/>
      <c r="Y138" s="2003"/>
      <c r="Z138" s="2000"/>
      <c r="AA138" s="1999"/>
      <c r="AB138" s="2004"/>
      <c r="AC138" s="2005"/>
      <c r="AD138" s="2004"/>
      <c r="AE138" s="2005"/>
      <c r="AF138" s="2004"/>
      <c r="AG138" s="2005"/>
      <c r="AH138" s="2004"/>
      <c r="AI138" s="2005"/>
      <c r="AJ138" s="2004"/>
      <c r="AK138" s="2005"/>
      <c r="AL138" s="2004"/>
      <c r="AM138" s="2005"/>
      <c r="AN138" s="2004"/>
      <c r="AO138" s="2005"/>
      <c r="AP138" s="2004"/>
      <c r="AQ138" s="2005"/>
      <c r="AR138" s="2004"/>
      <c r="AS138" s="2005"/>
      <c r="AT138" s="2004"/>
      <c r="AU138" s="2005"/>
      <c r="AV138" s="2004"/>
      <c r="AW138" s="2005"/>
      <c r="AX138" s="2004"/>
      <c r="AY138" s="2005"/>
      <c r="AZ138" s="413"/>
      <c r="BA138" s="2006"/>
      <c r="BB138" s="2006"/>
      <c r="BC138" s="2007"/>
      <c r="BD138" s="2004"/>
      <c r="BE138" s="2004"/>
      <c r="BF138" s="473"/>
      <c r="BG138" s="474"/>
      <c r="BH138" s="2008"/>
      <c r="BI138" s="195"/>
      <c r="BJ138" s="2009"/>
    </row>
    <row r="139" spans="1:68" x14ac:dyDescent="0.2">
      <c r="A139" s="413"/>
      <c r="B139" s="413"/>
      <c r="C139" s="413"/>
      <c r="D139" s="413"/>
      <c r="E139" s="413"/>
      <c r="F139" s="413"/>
      <c r="G139" s="413"/>
      <c r="H139" s="413"/>
      <c r="I139" s="413"/>
      <c r="J139" s="413"/>
      <c r="K139" s="1999"/>
      <c r="L139" s="2000"/>
      <c r="M139" s="2000"/>
      <c r="N139" s="2001"/>
      <c r="O139" s="1999"/>
      <c r="P139" s="2000"/>
      <c r="Q139" s="1999"/>
      <c r="R139" s="2000"/>
      <c r="S139" s="1999"/>
      <c r="T139" s="1999"/>
      <c r="U139" s="1999"/>
      <c r="V139" s="1999"/>
      <c r="W139" s="1999"/>
      <c r="X139" s="2010"/>
      <c r="Y139" s="2010"/>
      <c r="Z139" s="2000"/>
      <c r="AA139" s="1999"/>
      <c r="AB139" s="2004"/>
      <c r="AC139" s="2005"/>
      <c r="AD139" s="2004"/>
      <c r="AE139" s="2005"/>
      <c r="AF139" s="2004"/>
      <c r="AG139" s="2005"/>
      <c r="AH139" s="2004"/>
      <c r="AI139" s="2005"/>
      <c r="AJ139" s="2004"/>
      <c r="AK139" s="2005"/>
      <c r="AL139" s="2004"/>
      <c r="AM139" s="2005"/>
      <c r="AN139" s="2004"/>
      <c r="AO139" s="2005"/>
      <c r="AP139" s="2004"/>
      <c r="AQ139" s="2005"/>
      <c r="AR139" s="2004"/>
      <c r="AS139" s="2005"/>
      <c r="AT139" s="2004"/>
      <c r="AU139" s="2005"/>
      <c r="AV139" s="2004"/>
      <c r="AW139" s="2005"/>
      <c r="AX139" s="2004"/>
      <c r="AY139" s="2005"/>
      <c r="AZ139" s="413"/>
      <c r="BA139" s="2006"/>
      <c r="BB139" s="2006"/>
      <c r="BC139" s="2007"/>
      <c r="BD139" s="2004"/>
      <c r="BE139" s="2004"/>
      <c r="BF139" s="473"/>
      <c r="BG139" s="474"/>
      <c r="BH139" s="2008"/>
      <c r="BI139" s="195"/>
      <c r="BJ139" s="2009"/>
    </row>
    <row r="140" spans="1:68" ht="26.25" customHeight="1" x14ac:dyDescent="0.2">
      <c r="A140" s="413"/>
      <c r="B140" s="413"/>
      <c r="C140" s="413"/>
      <c r="D140" s="413"/>
      <c r="E140" s="413"/>
      <c r="F140" s="413"/>
      <c r="G140" s="413"/>
      <c r="H140" s="413"/>
      <c r="I140" s="413"/>
      <c r="J140" s="413"/>
      <c r="K140" s="1999"/>
      <c r="L140" s="2000"/>
      <c r="M140" s="2000"/>
      <c r="N140" s="2001"/>
      <c r="O140" s="1999"/>
      <c r="P140" s="2000"/>
      <c r="Q140" s="2015"/>
      <c r="R140" s="2000"/>
      <c r="S140" s="2016"/>
      <c r="T140" s="1999"/>
      <c r="U140" s="1999"/>
      <c r="V140" s="1999"/>
      <c r="W140" s="1990"/>
      <c r="X140" s="1991"/>
      <c r="Y140" s="1992"/>
      <c r="Z140" s="2000"/>
      <c r="AA140" s="1999"/>
      <c r="AB140" s="2004"/>
      <c r="AC140" s="2005"/>
      <c r="AD140" s="2004"/>
      <c r="AE140" s="2005"/>
      <c r="AF140" s="2004"/>
      <c r="AG140" s="2005"/>
      <c r="AH140" s="4651"/>
      <c r="AI140" s="4651"/>
      <c r="AJ140" s="4651"/>
      <c r="AK140" s="4651"/>
      <c r="AL140" s="4651"/>
      <c r="AM140" s="4651"/>
      <c r="AN140" s="4651"/>
      <c r="AO140" s="4651"/>
      <c r="AP140" s="4651"/>
      <c r="AQ140" s="4651"/>
      <c r="AR140" s="4651"/>
      <c r="AS140" s="2011"/>
      <c r="AT140" s="2004"/>
      <c r="AU140" s="2005"/>
      <c r="AV140" s="2004"/>
      <c r="AW140" s="2005"/>
      <c r="AX140" s="2004"/>
      <c r="AY140" s="2005"/>
      <c r="AZ140" s="413"/>
      <c r="BA140" s="2017"/>
      <c r="BB140" s="2017"/>
      <c r="BC140" s="2007"/>
      <c r="BD140" s="2004"/>
      <c r="BE140" s="2004"/>
      <c r="BF140" s="473"/>
      <c r="BG140" s="474"/>
      <c r="BH140" s="2008"/>
      <c r="BI140" s="195"/>
      <c r="BJ140" s="2009"/>
    </row>
    <row r="141" spans="1:68" ht="15" x14ac:dyDescent="0.25">
      <c r="A141" s="413"/>
      <c r="B141" s="413"/>
      <c r="C141" s="4661" t="s">
        <v>2006</v>
      </c>
      <c r="D141" s="4661"/>
      <c r="E141" s="4661"/>
      <c r="F141" s="4661"/>
      <c r="G141" s="4661"/>
      <c r="H141" s="4661"/>
      <c r="I141" s="4661"/>
      <c r="J141" s="4661"/>
      <c r="K141" s="1999"/>
      <c r="L141" s="2000"/>
      <c r="M141" s="2000"/>
      <c r="N141" s="2001"/>
      <c r="O141" s="1999"/>
      <c r="P141" s="2000"/>
      <c r="Q141" s="1999"/>
      <c r="R141" s="2000"/>
      <c r="S141" s="1999"/>
      <c r="T141" s="1999"/>
      <c r="U141" s="1999"/>
      <c r="V141" s="1999"/>
      <c r="W141" s="1993"/>
      <c r="X141" s="1994"/>
      <c r="Y141" s="1994"/>
      <c r="Z141" s="2000"/>
      <c r="AA141" s="1999"/>
      <c r="AB141" s="2004"/>
      <c r="AC141" s="2005"/>
      <c r="AD141" s="2004"/>
      <c r="AE141" s="2005"/>
      <c r="AF141" s="2004"/>
      <c r="AG141" s="2005"/>
      <c r="AH141" s="2004"/>
      <c r="AI141" s="2005"/>
      <c r="AJ141" s="2004"/>
      <c r="AK141" s="2005"/>
      <c r="AL141" s="2004"/>
      <c r="AM141" s="2005"/>
      <c r="AN141" s="2004"/>
      <c r="AO141" s="2005"/>
      <c r="AP141" s="2004"/>
      <c r="AQ141" s="2005"/>
      <c r="AR141" s="2004"/>
      <c r="AS141" s="2005"/>
      <c r="AT141" s="2004"/>
      <c r="AU141" s="2005"/>
      <c r="AV141" s="2004"/>
      <c r="AW141" s="2005"/>
      <c r="AX141" s="2004"/>
      <c r="AY141" s="2005"/>
      <c r="AZ141" s="413"/>
      <c r="BA141" s="2006"/>
      <c r="BB141" s="2006"/>
      <c r="BC141" s="2007"/>
      <c r="BD141" s="2004"/>
      <c r="BE141" s="2004"/>
      <c r="BF141" s="473"/>
      <c r="BG141" s="474"/>
      <c r="BH141" s="2008"/>
      <c r="BI141" s="195"/>
      <c r="BJ141" s="2009"/>
    </row>
    <row r="142" spans="1:68" ht="15" x14ac:dyDescent="0.25">
      <c r="A142" s="413"/>
      <c r="B142" s="413"/>
      <c r="C142" s="4661" t="s">
        <v>2007</v>
      </c>
      <c r="D142" s="4661"/>
      <c r="E142" s="4661"/>
      <c r="F142" s="4661"/>
      <c r="G142" s="4661"/>
      <c r="H142" s="4661"/>
      <c r="I142" s="4661"/>
      <c r="J142" s="4661"/>
      <c r="K142" s="1999"/>
      <c r="L142" s="2000"/>
      <c r="M142" s="2000"/>
      <c r="N142" s="2001"/>
      <c r="O142" s="1999"/>
      <c r="P142" s="2000"/>
      <c r="Q142" s="1999"/>
      <c r="R142" s="2000"/>
      <c r="S142" s="2012"/>
      <c r="T142" s="1999"/>
      <c r="U142" s="1999"/>
      <c r="V142" s="1999"/>
      <c r="W142" s="1995"/>
      <c r="X142" s="1996"/>
      <c r="Y142" s="1996"/>
      <c r="Z142" s="2000"/>
      <c r="AA142" s="1999"/>
      <c r="AB142" s="2004"/>
      <c r="AC142" s="2005"/>
      <c r="AD142" s="2004"/>
      <c r="AE142" s="2013"/>
      <c r="AF142" s="2004"/>
      <c r="AG142" s="2005"/>
      <c r="AH142" s="2004"/>
      <c r="AI142" s="2005"/>
      <c r="AJ142" s="2014"/>
      <c r="AK142" s="2005"/>
      <c r="AL142" s="2004"/>
      <c r="AM142" s="2005"/>
      <c r="AN142" s="2004"/>
      <c r="AO142" s="2005"/>
      <c r="AP142" s="2004"/>
      <c r="AQ142" s="2005"/>
      <c r="AR142" s="2004"/>
      <c r="AS142" s="2005"/>
      <c r="AT142" s="2004"/>
      <c r="AU142" s="2005"/>
      <c r="AV142" s="2004"/>
      <c r="AW142" s="2005"/>
      <c r="AX142" s="2004"/>
      <c r="AY142" s="2005"/>
      <c r="AZ142" s="413"/>
      <c r="BA142" s="2006"/>
      <c r="BB142" s="2006"/>
      <c r="BC142" s="2007"/>
      <c r="BD142" s="2004"/>
      <c r="BE142" s="2004"/>
      <c r="BF142" s="473"/>
      <c r="BG142" s="474"/>
      <c r="BH142" s="2008"/>
      <c r="BI142" s="195"/>
      <c r="BJ142" s="2009"/>
    </row>
    <row r="143" spans="1:68" ht="30.75" customHeight="1" x14ac:dyDescent="0.2">
      <c r="A143" s="413"/>
      <c r="B143" s="413"/>
      <c r="C143" s="413"/>
      <c r="D143" s="413"/>
      <c r="E143" s="413"/>
      <c r="F143" s="413"/>
      <c r="G143" s="413"/>
      <c r="H143" s="413"/>
      <c r="I143" s="413"/>
      <c r="J143" s="413"/>
      <c r="K143" s="1999"/>
      <c r="L143" s="2000"/>
      <c r="M143" s="2000"/>
      <c r="N143" s="2001"/>
      <c r="O143" s="1999"/>
      <c r="P143" s="2000"/>
      <c r="Q143" s="2015"/>
      <c r="R143" s="2000"/>
      <c r="S143" s="1730"/>
      <c r="T143" s="1999"/>
      <c r="U143" s="1999"/>
      <c r="V143" s="1999"/>
      <c r="W143" s="413"/>
      <c r="X143" s="1075"/>
      <c r="Y143" s="1075"/>
      <c r="Z143" s="413"/>
      <c r="AA143" s="413"/>
      <c r="AB143" s="2004"/>
      <c r="AC143" s="2005"/>
      <c r="AD143" s="2004"/>
      <c r="AE143" s="2005"/>
      <c r="AF143" s="2004"/>
      <c r="AG143" s="2005"/>
      <c r="AH143" s="2004"/>
      <c r="AI143" s="2005"/>
      <c r="AJ143" s="2004"/>
      <c r="AK143" s="2005"/>
      <c r="AL143" s="2004"/>
      <c r="AM143" s="2005"/>
      <c r="AN143" s="2004"/>
      <c r="AO143" s="2005"/>
      <c r="AP143" s="2004"/>
      <c r="AQ143" s="2005"/>
      <c r="AR143" s="2004"/>
      <c r="AS143" s="2005"/>
      <c r="AT143" s="2004"/>
      <c r="AU143" s="2005"/>
      <c r="AV143" s="2004"/>
      <c r="AW143" s="2005"/>
      <c r="AX143" s="2007"/>
      <c r="AY143" s="2005"/>
      <c r="AZ143" s="413"/>
      <c r="BA143" s="2006"/>
      <c r="BB143" s="2006"/>
      <c r="BC143" s="2008"/>
      <c r="BD143" s="2008"/>
      <c r="BE143" s="2009"/>
      <c r="BF143" s="413"/>
      <c r="BG143" s="1075"/>
      <c r="BH143" s="413"/>
      <c r="BI143" s="1075"/>
      <c r="BJ143" s="413"/>
    </row>
    <row r="144" spans="1:68" x14ac:dyDescent="0.2">
      <c r="W144" s="4"/>
      <c r="X144" s="123"/>
      <c r="Y144" s="123"/>
      <c r="Z144" s="4"/>
      <c r="AA144" s="4"/>
      <c r="AJ144" s="1076"/>
      <c r="AX144" s="1074"/>
      <c r="BC144" s="22"/>
      <c r="BD144" s="22"/>
      <c r="BE144" s="2456"/>
      <c r="BF144" s="413"/>
      <c r="BG144" s="1075"/>
      <c r="BH144" s="2"/>
      <c r="BI144" s="471"/>
      <c r="BJ144" s="2"/>
    </row>
    <row r="145" spans="17:62" x14ac:dyDescent="0.2">
      <c r="W145" s="4"/>
      <c r="X145" s="123"/>
      <c r="Y145" s="123"/>
      <c r="Z145" s="4"/>
      <c r="AA145" s="4"/>
      <c r="AX145" s="1074"/>
      <c r="BC145" s="22"/>
      <c r="BD145" s="22"/>
      <c r="BE145" s="2456"/>
      <c r="BF145" s="413"/>
      <c r="BG145" s="1075"/>
      <c r="BH145" s="2"/>
      <c r="BI145" s="471"/>
      <c r="BJ145" s="2"/>
    </row>
    <row r="146" spans="17:62" x14ac:dyDescent="0.2">
      <c r="Q146" s="1562"/>
      <c r="R146" s="1534"/>
      <c r="S146" s="1563"/>
      <c r="T146" s="1535"/>
      <c r="W146" s="4"/>
      <c r="X146" s="123"/>
      <c r="Y146" s="123"/>
      <c r="Z146" s="4"/>
      <c r="AA146" s="4"/>
      <c r="AX146" s="1074"/>
      <c r="BC146" s="22"/>
      <c r="BD146" s="22"/>
      <c r="BE146" s="2456"/>
      <c r="BF146" s="413"/>
      <c r="BG146" s="1075"/>
      <c r="BH146" s="2"/>
      <c r="BI146" s="471"/>
      <c r="BJ146" s="2"/>
    </row>
  </sheetData>
  <sheetProtection algorithmName="SHA-512" hashValue="VjpC8Gdbchh2q4L71ejmEjRsaliLSPNApwNsFIW54mKp18WrdjHcaa773//Nj50lkpa1z1R/Ot8okjd0BgNbHQ==" saltValue="bOd97eXHrTQZ/jf159Dlug==" spinCount="100000" sheet="1" objects="1" scenarios="1"/>
  <mergeCells count="1205">
    <mergeCell ref="Q5:BJ5"/>
    <mergeCell ref="C142:J142"/>
    <mergeCell ref="BF129:BF135"/>
    <mergeCell ref="BG129:BG135"/>
    <mergeCell ref="BH129:BH135"/>
    <mergeCell ref="BI129:BI135"/>
    <mergeCell ref="BJ129:BJ135"/>
    <mergeCell ref="J130:J134"/>
    <mergeCell ref="K130:K134"/>
    <mergeCell ref="L130:L134"/>
    <mergeCell ref="M130:M134"/>
    <mergeCell ref="N130:N134"/>
    <mergeCell ref="AZ129:AZ135"/>
    <mergeCell ref="BA129:BA135"/>
    <mergeCell ref="BB129:BB135"/>
    <mergeCell ref="BC129:BC135"/>
    <mergeCell ref="BD129:BD135"/>
    <mergeCell ref="BE129:BE135"/>
    <mergeCell ref="AT129:AT135"/>
    <mergeCell ref="AU129:AU135"/>
    <mergeCell ref="AV129:AV135"/>
    <mergeCell ref="AW129:AW135"/>
    <mergeCell ref="AX129:AX135"/>
    <mergeCell ref="AY129:AY135"/>
    <mergeCell ref="AN129:AN135"/>
    <mergeCell ref="AO129:AO135"/>
    <mergeCell ref="AP129:AP135"/>
    <mergeCell ref="AQ129:AQ135"/>
    <mergeCell ref="AR129:AR135"/>
    <mergeCell ref="AS129:AS135"/>
    <mergeCell ref="AB129:AB135"/>
    <mergeCell ref="AJ129:AJ135"/>
    <mergeCell ref="AK129:AK135"/>
    <mergeCell ref="AH140:AR140"/>
    <mergeCell ref="C141:J141"/>
    <mergeCell ref="O124:O126"/>
    <mergeCell ref="P124:P126"/>
    <mergeCell ref="Q124:Q126"/>
    <mergeCell ref="R124:R125"/>
    <mergeCell ref="S124:S126"/>
    <mergeCell ref="T124:T126"/>
    <mergeCell ref="U125:U126"/>
    <mergeCell ref="O129:O135"/>
    <mergeCell ref="P129:P135"/>
    <mergeCell ref="Q129:Q135"/>
    <mergeCell ref="S129:S135"/>
    <mergeCell ref="T129:T135"/>
    <mergeCell ref="U129:U135"/>
    <mergeCell ref="Z129:Z135"/>
    <mergeCell ref="AA129:AA135"/>
    <mergeCell ref="J124:J125"/>
    <mergeCell ref="K124:K125"/>
    <mergeCell ref="L124:L125"/>
    <mergeCell ref="M124:M125"/>
    <mergeCell ref="N124:N125"/>
    <mergeCell ref="BH119:BH122"/>
    <mergeCell ref="AX124:AX126"/>
    <mergeCell ref="AY124:AY126"/>
    <mergeCell ref="AZ124:AZ126"/>
    <mergeCell ref="BA124:BA126"/>
    <mergeCell ref="R130:R134"/>
    <mergeCell ref="AV124:AV126"/>
    <mergeCell ref="AW124:AW126"/>
    <mergeCell ref="AL124:AL126"/>
    <mergeCell ref="AM124:AM126"/>
    <mergeCell ref="AN124:AN126"/>
    <mergeCell ref="AO124:AO126"/>
    <mergeCell ref="AJ124:AJ126"/>
    <mergeCell ref="AK124:AK126"/>
    <mergeCell ref="AH129:AH135"/>
    <mergeCell ref="AI129:AI135"/>
    <mergeCell ref="AL129:AL135"/>
    <mergeCell ref="AM129:AM135"/>
    <mergeCell ref="Z124:Z126"/>
    <mergeCell ref="AA124:AA126"/>
    <mergeCell ref="AB124:AB126"/>
    <mergeCell ref="AC124:AC126"/>
    <mergeCell ref="AD124:AD126"/>
    <mergeCell ref="AE124:AE126"/>
    <mergeCell ref="AC129:AC135"/>
    <mergeCell ref="AD129:AD135"/>
    <mergeCell ref="AE129:AE135"/>
    <mergeCell ref="AF129:AF135"/>
    <mergeCell ref="AG129:AG135"/>
    <mergeCell ref="BA119:BA122"/>
    <mergeCell ref="BB119:BB122"/>
    <mergeCell ref="BC119:BC122"/>
    <mergeCell ref="BI119:BI122"/>
    <mergeCell ref="BJ119:BJ122"/>
    <mergeCell ref="U120:U122"/>
    <mergeCell ref="AF119:AF122"/>
    <mergeCell ref="AG119:AG122"/>
    <mergeCell ref="AH119:AH122"/>
    <mergeCell ref="R119:R121"/>
    <mergeCell ref="S119:S122"/>
    <mergeCell ref="T119:T122"/>
    <mergeCell ref="Z119:Z122"/>
    <mergeCell ref="AA119:AA122"/>
    <mergeCell ref="AB119:AB122"/>
    <mergeCell ref="BB124:BB126"/>
    <mergeCell ref="BC124:BC126"/>
    <mergeCell ref="AR124:AR126"/>
    <mergeCell ref="AS124:AS126"/>
    <mergeCell ref="AT124:AT126"/>
    <mergeCell ref="AU124:AU126"/>
    <mergeCell ref="AP124:AP126"/>
    <mergeCell ref="AQ124:AQ126"/>
    <mergeCell ref="AF124:AF126"/>
    <mergeCell ref="AG124:AG126"/>
    <mergeCell ref="AH124:AH126"/>
    <mergeCell ref="AI124:AI126"/>
    <mergeCell ref="BJ124:BJ126"/>
    <mergeCell ref="BD124:BD126"/>
    <mergeCell ref="BE124:BE126"/>
    <mergeCell ref="BF124:BF126"/>
    <mergeCell ref="BG124:BG126"/>
    <mergeCell ref="BH124:BH126"/>
    <mergeCell ref="BI124:BI126"/>
    <mergeCell ref="BG119:BG122"/>
    <mergeCell ref="BD119:BD122"/>
    <mergeCell ref="BE119:BE122"/>
    <mergeCell ref="BF119:BF122"/>
    <mergeCell ref="AU119:AU122"/>
    <mergeCell ref="AV119:AV122"/>
    <mergeCell ref="AW119:AW122"/>
    <mergeCell ref="AX119:AX122"/>
    <mergeCell ref="AY119:AY122"/>
    <mergeCell ref="AZ119:AZ122"/>
    <mergeCell ref="AO119:AO122"/>
    <mergeCell ref="AP119:AP122"/>
    <mergeCell ref="AQ119:AQ122"/>
    <mergeCell ref="AR119:AR122"/>
    <mergeCell ref="AS119:AS122"/>
    <mergeCell ref="AT119:AT122"/>
    <mergeCell ref="AI119:AI122"/>
    <mergeCell ref="AJ119:AJ122"/>
    <mergeCell ref="AK119:AK122"/>
    <mergeCell ref="AL119:AL122"/>
    <mergeCell ref="AM119:AM122"/>
    <mergeCell ref="AN119:AN122"/>
    <mergeCell ref="AC119:AC122"/>
    <mergeCell ref="AD119:AD122"/>
    <mergeCell ref="AE119:AE122"/>
    <mergeCell ref="BI116:BI117"/>
    <mergeCell ref="BJ116:BJ117"/>
    <mergeCell ref="J119:J121"/>
    <mergeCell ref="K119:K121"/>
    <mergeCell ref="L119:L121"/>
    <mergeCell ref="M119:M121"/>
    <mergeCell ref="N119:N121"/>
    <mergeCell ref="O119:O122"/>
    <mergeCell ref="P119:P122"/>
    <mergeCell ref="Q119:Q122"/>
    <mergeCell ref="BC116:BC117"/>
    <mergeCell ref="BD116:BD117"/>
    <mergeCell ref="BE116:BE117"/>
    <mergeCell ref="BF116:BF117"/>
    <mergeCell ref="BG116:BG117"/>
    <mergeCell ref="BH116:BH117"/>
    <mergeCell ref="AW116:AW117"/>
    <mergeCell ref="AX116:AX117"/>
    <mergeCell ref="AY116:AY117"/>
    <mergeCell ref="AZ116:AZ117"/>
    <mergeCell ref="BA116:BA117"/>
    <mergeCell ref="BB116:BB117"/>
    <mergeCell ref="AQ116:AQ117"/>
    <mergeCell ref="AR116:AR117"/>
    <mergeCell ref="AS116:AS117"/>
    <mergeCell ref="AT116:AT117"/>
    <mergeCell ref="AU116:AU117"/>
    <mergeCell ref="AV116:AV117"/>
    <mergeCell ref="AK116:AK117"/>
    <mergeCell ref="AL116:AL117"/>
    <mergeCell ref="AM116:AM117"/>
    <mergeCell ref="AN116:AN117"/>
    <mergeCell ref="AO116:AO117"/>
    <mergeCell ref="AP116:AP117"/>
    <mergeCell ref="AE116:AE117"/>
    <mergeCell ref="AF116:AF117"/>
    <mergeCell ref="AG116:AG117"/>
    <mergeCell ref="AH116:AH117"/>
    <mergeCell ref="AI116:AI117"/>
    <mergeCell ref="AJ116:AJ117"/>
    <mergeCell ref="Y116:Y117"/>
    <mergeCell ref="Z116:Z117"/>
    <mergeCell ref="AA116:AA117"/>
    <mergeCell ref="AB116:AB117"/>
    <mergeCell ref="AC116:AC117"/>
    <mergeCell ref="AD116:AD117"/>
    <mergeCell ref="R116:R117"/>
    <mergeCell ref="S116:S117"/>
    <mergeCell ref="T116:T117"/>
    <mergeCell ref="V116:V117"/>
    <mergeCell ref="W116:W117"/>
    <mergeCell ref="X116:X117"/>
    <mergeCell ref="BI113:BI115"/>
    <mergeCell ref="BJ113:BJ115"/>
    <mergeCell ref="J116:J117"/>
    <mergeCell ref="K116:K117"/>
    <mergeCell ref="L116:L117"/>
    <mergeCell ref="M116:M117"/>
    <mergeCell ref="N116:N117"/>
    <mergeCell ref="O116:O117"/>
    <mergeCell ref="P116:P117"/>
    <mergeCell ref="Q116:Q117"/>
    <mergeCell ref="BC113:BC115"/>
    <mergeCell ref="BD113:BD115"/>
    <mergeCell ref="BE113:BE115"/>
    <mergeCell ref="BF113:BF115"/>
    <mergeCell ref="BG113:BG115"/>
    <mergeCell ref="BH113:BH115"/>
    <mergeCell ref="AW113:AW115"/>
    <mergeCell ref="AX113:AX115"/>
    <mergeCell ref="AY113:AY115"/>
    <mergeCell ref="AZ113:AZ115"/>
    <mergeCell ref="BA113:BA115"/>
    <mergeCell ref="BB113:BB115"/>
    <mergeCell ref="AQ113:AQ115"/>
    <mergeCell ref="AR113:AR115"/>
    <mergeCell ref="AS113:AS115"/>
    <mergeCell ref="AT113:AT115"/>
    <mergeCell ref="AU113:AU115"/>
    <mergeCell ref="AV113:AV115"/>
    <mergeCell ref="AK113:AK115"/>
    <mergeCell ref="AL113:AL115"/>
    <mergeCell ref="AM113:AM115"/>
    <mergeCell ref="AN113:AN115"/>
    <mergeCell ref="AO113:AO115"/>
    <mergeCell ref="AP113:AP115"/>
    <mergeCell ref="AE113:AE115"/>
    <mergeCell ref="AF113:AF115"/>
    <mergeCell ref="AG113:AG115"/>
    <mergeCell ref="AH113:AH115"/>
    <mergeCell ref="AI113:AI115"/>
    <mergeCell ref="AJ113:AJ115"/>
    <mergeCell ref="U113:U114"/>
    <mergeCell ref="Z113:Z115"/>
    <mergeCell ref="AA113:AA115"/>
    <mergeCell ref="AB113:AB115"/>
    <mergeCell ref="AC113:AC115"/>
    <mergeCell ref="AD113:AD115"/>
    <mergeCell ref="O113:O115"/>
    <mergeCell ref="P113:P115"/>
    <mergeCell ref="Q113:Q115"/>
    <mergeCell ref="R113:R114"/>
    <mergeCell ref="S113:S115"/>
    <mergeCell ref="T113:T115"/>
    <mergeCell ref="BF110:BF111"/>
    <mergeCell ref="BG110:BG111"/>
    <mergeCell ref="BH110:BH111"/>
    <mergeCell ref="BI110:BI111"/>
    <mergeCell ref="BJ110:BJ111"/>
    <mergeCell ref="J113:J114"/>
    <mergeCell ref="K113:K114"/>
    <mergeCell ref="L113:L114"/>
    <mergeCell ref="M113:M114"/>
    <mergeCell ref="N113:N114"/>
    <mergeCell ref="AZ110:AZ111"/>
    <mergeCell ref="BA110:BA111"/>
    <mergeCell ref="BB110:BB111"/>
    <mergeCell ref="BC110:BC111"/>
    <mergeCell ref="BD110:BD111"/>
    <mergeCell ref="BE110:BE111"/>
    <mergeCell ref="AT110:AT111"/>
    <mergeCell ref="AU110:AU111"/>
    <mergeCell ref="AV110:AV111"/>
    <mergeCell ref="AW110:AW111"/>
    <mergeCell ref="AX110:AX111"/>
    <mergeCell ref="AY110:AY111"/>
    <mergeCell ref="AN110:AN111"/>
    <mergeCell ref="AO110:AO111"/>
    <mergeCell ref="AP110:AP111"/>
    <mergeCell ref="AQ110:AQ111"/>
    <mergeCell ref="AR110:AR111"/>
    <mergeCell ref="AS110:AS111"/>
    <mergeCell ref="AH110:AH111"/>
    <mergeCell ref="AI110:AI111"/>
    <mergeCell ref="AJ110:AJ111"/>
    <mergeCell ref="AK110:AK111"/>
    <mergeCell ref="AL110:AL111"/>
    <mergeCell ref="AM110:AM111"/>
    <mergeCell ref="AB110:AB111"/>
    <mergeCell ref="AC110:AC111"/>
    <mergeCell ref="AD110:AD111"/>
    <mergeCell ref="AE110:AE111"/>
    <mergeCell ref="AF110:AF111"/>
    <mergeCell ref="AG110:AG111"/>
    <mergeCell ref="R110:R111"/>
    <mergeCell ref="S110:S111"/>
    <mergeCell ref="T110:T111"/>
    <mergeCell ref="U110:U111"/>
    <mergeCell ref="Z110:Z111"/>
    <mergeCell ref="AA110:AA111"/>
    <mergeCell ref="BK107:CA107"/>
    <mergeCell ref="BK108:CA108"/>
    <mergeCell ref="J110:J111"/>
    <mergeCell ref="K110:K111"/>
    <mergeCell ref="L110:L111"/>
    <mergeCell ref="M110:M111"/>
    <mergeCell ref="N110:N111"/>
    <mergeCell ref="O110:O111"/>
    <mergeCell ref="P110:P111"/>
    <mergeCell ref="Q110:Q111"/>
    <mergeCell ref="AQ104:AQ107"/>
    <mergeCell ref="AR104:AR107"/>
    <mergeCell ref="AG104:AG107"/>
    <mergeCell ref="AH104:AH107"/>
    <mergeCell ref="AI104:AI107"/>
    <mergeCell ref="AJ104:AJ107"/>
    <mergeCell ref="AK104:AK107"/>
    <mergeCell ref="AL104:AL107"/>
    <mergeCell ref="BK104:CA104"/>
    <mergeCell ref="J105:J106"/>
    <mergeCell ref="K105:K106"/>
    <mergeCell ref="L105:L106"/>
    <mergeCell ref="M105:M106"/>
    <mergeCell ref="N105:N106"/>
    <mergeCell ref="R105:R106"/>
    <mergeCell ref="W105:W106"/>
    <mergeCell ref="X105:X106"/>
    <mergeCell ref="Y105:Y106"/>
    <mergeCell ref="BE104:BE107"/>
    <mergeCell ref="BF104:BF107"/>
    <mergeCell ref="BG104:BG107"/>
    <mergeCell ref="BH104:BH107"/>
    <mergeCell ref="BJ104:BJ107"/>
    <mergeCell ref="AY104:AY107"/>
    <mergeCell ref="AZ104:AZ107"/>
    <mergeCell ref="BA104:BA107"/>
    <mergeCell ref="BB104:BB107"/>
    <mergeCell ref="BC104:BC107"/>
    <mergeCell ref="BD104:BD107"/>
    <mergeCell ref="AS104:AS107"/>
    <mergeCell ref="AT104:AT107"/>
    <mergeCell ref="AU104:AU107"/>
    <mergeCell ref="AV104:AV107"/>
    <mergeCell ref="AW104:AW107"/>
    <mergeCell ref="AX104:AX107"/>
    <mergeCell ref="AM104:AM107"/>
    <mergeCell ref="AN104:AN107"/>
    <mergeCell ref="AO104:AO107"/>
    <mergeCell ref="AP104:AP107"/>
    <mergeCell ref="Z104:Z107"/>
    <mergeCell ref="AB104:AB107"/>
    <mergeCell ref="AC104:AC107"/>
    <mergeCell ref="AD104:AD107"/>
    <mergeCell ref="AE104:AE107"/>
    <mergeCell ref="AF104:AF107"/>
    <mergeCell ref="O104:O107"/>
    <mergeCell ref="P104:P107"/>
    <mergeCell ref="Q104:Q107"/>
    <mergeCell ref="S104:S107"/>
    <mergeCell ref="T104:T107"/>
    <mergeCell ref="U104:U105"/>
    <mergeCell ref="U106:U107"/>
    <mergeCell ref="BF97:BF101"/>
    <mergeCell ref="BG97:BG101"/>
    <mergeCell ref="BH97:BH101"/>
    <mergeCell ref="BI97:BI101"/>
    <mergeCell ref="AG97:AG101"/>
    <mergeCell ref="BI104:BI107"/>
    <mergeCell ref="BJ97:BJ101"/>
    <mergeCell ref="G99:I99"/>
    <mergeCell ref="G101:I101"/>
    <mergeCell ref="AZ97:AZ101"/>
    <mergeCell ref="BA97:BA101"/>
    <mergeCell ref="BB97:BB101"/>
    <mergeCell ref="BC97:BC101"/>
    <mergeCell ref="BD97:BD101"/>
    <mergeCell ref="BE97:BE101"/>
    <mergeCell ref="AT97:AT101"/>
    <mergeCell ref="AU97:AU101"/>
    <mergeCell ref="AV97:AV101"/>
    <mergeCell ref="AW97:AW101"/>
    <mergeCell ref="AX97:AX101"/>
    <mergeCell ref="AY97:AY101"/>
    <mergeCell ref="AN97:AN101"/>
    <mergeCell ref="AO97:AO101"/>
    <mergeCell ref="AP97:AP101"/>
    <mergeCell ref="AQ97:AQ101"/>
    <mergeCell ref="AR97:AR101"/>
    <mergeCell ref="AS97:AS101"/>
    <mergeCell ref="AH97:AH101"/>
    <mergeCell ref="AI97:AI101"/>
    <mergeCell ref="AJ97:AJ101"/>
    <mergeCell ref="AK97:AK101"/>
    <mergeCell ref="AL97:AL101"/>
    <mergeCell ref="AM97:AM101"/>
    <mergeCell ref="AB97:AB101"/>
    <mergeCell ref="AC97:AC101"/>
    <mergeCell ref="AD97:AD101"/>
    <mergeCell ref="AE97:AE101"/>
    <mergeCell ref="AF97:AF101"/>
    <mergeCell ref="G97:I97"/>
    <mergeCell ref="O97:O101"/>
    <mergeCell ref="P97:P101"/>
    <mergeCell ref="Q97:Q101"/>
    <mergeCell ref="S97:S101"/>
    <mergeCell ref="T97:T101"/>
    <mergeCell ref="BJ82:BJ94"/>
    <mergeCell ref="J85:J94"/>
    <mergeCell ref="K85:K94"/>
    <mergeCell ref="L85:L94"/>
    <mergeCell ref="M85:M94"/>
    <mergeCell ref="N85:N94"/>
    <mergeCell ref="R85:R94"/>
    <mergeCell ref="U85:U94"/>
    <mergeCell ref="BD82:BD94"/>
    <mergeCell ref="BE82:BE94"/>
    <mergeCell ref="BF82:BF94"/>
    <mergeCell ref="BG82:BG94"/>
    <mergeCell ref="BH82:BH94"/>
    <mergeCell ref="BI82:BI94"/>
    <mergeCell ref="AX82:AX94"/>
    <mergeCell ref="AY82:AY94"/>
    <mergeCell ref="AZ82:AZ94"/>
    <mergeCell ref="BA82:BA94"/>
    <mergeCell ref="BB82:BB94"/>
    <mergeCell ref="BC82:BC94"/>
    <mergeCell ref="AR82:AR94"/>
    <mergeCell ref="AS82:AS94"/>
    <mergeCell ref="AT82:AT94"/>
    <mergeCell ref="AU82:AU94"/>
    <mergeCell ref="AV82:AV94"/>
    <mergeCell ref="AW82:AW94"/>
    <mergeCell ref="AL82:AL94"/>
    <mergeCell ref="AM82:AM94"/>
    <mergeCell ref="AN82:AN94"/>
    <mergeCell ref="AO82:AO94"/>
    <mergeCell ref="AP82:AP94"/>
    <mergeCell ref="AQ82:AQ94"/>
    <mergeCell ref="AF82:AF94"/>
    <mergeCell ref="AG82:AG94"/>
    <mergeCell ref="AH82:AH94"/>
    <mergeCell ref="AI82:AI94"/>
    <mergeCell ref="AJ82:AJ94"/>
    <mergeCell ref="AK82:AK94"/>
    <mergeCell ref="Z82:Z94"/>
    <mergeCell ref="AA82:AA94"/>
    <mergeCell ref="AB82:AB94"/>
    <mergeCell ref="AC82:AC94"/>
    <mergeCell ref="AD82:AD94"/>
    <mergeCell ref="AE82:AE94"/>
    <mergeCell ref="P82:P94"/>
    <mergeCell ref="Q82:Q94"/>
    <mergeCell ref="R82:R84"/>
    <mergeCell ref="S82:S94"/>
    <mergeCell ref="T82:T94"/>
    <mergeCell ref="U82:U84"/>
    <mergeCell ref="J82:J84"/>
    <mergeCell ref="K82:K84"/>
    <mergeCell ref="L82:L84"/>
    <mergeCell ref="M82:M84"/>
    <mergeCell ref="N82:N84"/>
    <mergeCell ref="O82:O94"/>
    <mergeCell ref="BG77:BG80"/>
    <mergeCell ref="BH77:BH80"/>
    <mergeCell ref="BI77:BI80"/>
    <mergeCell ref="BJ77:BJ80"/>
    <mergeCell ref="V79:V80"/>
    <mergeCell ref="W79:W80"/>
    <mergeCell ref="X79:X80"/>
    <mergeCell ref="Y79:Y80"/>
    <mergeCell ref="BA77:BA80"/>
    <mergeCell ref="BB77:BB80"/>
    <mergeCell ref="BC77:BC80"/>
    <mergeCell ref="BD77:BD80"/>
    <mergeCell ref="BE77:BE80"/>
    <mergeCell ref="BF77:BF80"/>
    <mergeCell ref="AU77:AU80"/>
    <mergeCell ref="AV77:AV80"/>
    <mergeCell ref="AW77:AW80"/>
    <mergeCell ref="AX77:AX80"/>
    <mergeCell ref="AY77:AY80"/>
    <mergeCell ref="AZ77:AZ80"/>
    <mergeCell ref="AO77:AO80"/>
    <mergeCell ref="AP77:AP80"/>
    <mergeCell ref="AQ77:AQ80"/>
    <mergeCell ref="AR77:AR80"/>
    <mergeCell ref="AS77:AS80"/>
    <mergeCell ref="AT77:AT80"/>
    <mergeCell ref="AI77:AI80"/>
    <mergeCell ref="AJ77:AJ80"/>
    <mergeCell ref="AK77:AK80"/>
    <mergeCell ref="AL77:AL80"/>
    <mergeCell ref="AM77:AM80"/>
    <mergeCell ref="AN77:AN80"/>
    <mergeCell ref="AC77:AC80"/>
    <mergeCell ref="AD77:AD80"/>
    <mergeCell ref="AE77:AE80"/>
    <mergeCell ref="AF77:AF80"/>
    <mergeCell ref="AG77:AG80"/>
    <mergeCell ref="AH77:AH80"/>
    <mergeCell ref="W77:W78"/>
    <mergeCell ref="X77:X78"/>
    <mergeCell ref="Y77:Y78"/>
    <mergeCell ref="Z77:Z80"/>
    <mergeCell ref="AA77:AA80"/>
    <mergeCell ref="AB77:AB80"/>
    <mergeCell ref="P77:P80"/>
    <mergeCell ref="Q77:Q80"/>
    <mergeCell ref="R77:R80"/>
    <mergeCell ref="S77:S80"/>
    <mergeCell ref="T77:T80"/>
    <mergeCell ref="V77:V78"/>
    <mergeCell ref="J77:J80"/>
    <mergeCell ref="K77:K80"/>
    <mergeCell ref="L77:L80"/>
    <mergeCell ref="M77:M80"/>
    <mergeCell ref="N77:N80"/>
    <mergeCell ref="O77:O80"/>
    <mergeCell ref="BE74:BE75"/>
    <mergeCell ref="BF74:BF75"/>
    <mergeCell ref="BG74:BG75"/>
    <mergeCell ref="BH74:BH75"/>
    <mergeCell ref="BI74:BI75"/>
    <mergeCell ref="BJ74:BJ75"/>
    <mergeCell ref="AY74:AY75"/>
    <mergeCell ref="AZ74:AZ75"/>
    <mergeCell ref="BA74:BA75"/>
    <mergeCell ref="BB74:BB75"/>
    <mergeCell ref="BC74:BC75"/>
    <mergeCell ref="BD74:BD75"/>
    <mergeCell ref="AS74:AS75"/>
    <mergeCell ref="AT74:AT75"/>
    <mergeCell ref="AU74:AU75"/>
    <mergeCell ref="AV74:AV75"/>
    <mergeCell ref="AW74:AW75"/>
    <mergeCell ref="AX74:AX75"/>
    <mergeCell ref="AM74:AM75"/>
    <mergeCell ref="AN74:AN75"/>
    <mergeCell ref="AO74:AO75"/>
    <mergeCell ref="AP74:AP75"/>
    <mergeCell ref="AQ74:AQ75"/>
    <mergeCell ref="AR74:AR75"/>
    <mergeCell ref="AG74:AG75"/>
    <mergeCell ref="AH74:AH75"/>
    <mergeCell ref="AI74:AI75"/>
    <mergeCell ref="AJ74:AJ75"/>
    <mergeCell ref="AK74:AK75"/>
    <mergeCell ref="AL74:AL75"/>
    <mergeCell ref="AA74:AA75"/>
    <mergeCell ref="AB74:AB75"/>
    <mergeCell ref="AC74:AC75"/>
    <mergeCell ref="AD74:AD75"/>
    <mergeCell ref="AE74:AE75"/>
    <mergeCell ref="AF74:AF75"/>
    <mergeCell ref="O74:O75"/>
    <mergeCell ref="P74:P75"/>
    <mergeCell ref="Q74:Q75"/>
    <mergeCell ref="S74:S75"/>
    <mergeCell ref="T74:T75"/>
    <mergeCell ref="Z74:Z75"/>
    <mergeCell ref="BE68:BE71"/>
    <mergeCell ref="BF68:BF71"/>
    <mergeCell ref="BG68:BG71"/>
    <mergeCell ref="BH68:BH71"/>
    <mergeCell ref="BI68:BI71"/>
    <mergeCell ref="BJ68:BJ71"/>
    <mergeCell ref="AY68:AY71"/>
    <mergeCell ref="AZ68:AZ71"/>
    <mergeCell ref="BA68:BA71"/>
    <mergeCell ref="BB68:BB71"/>
    <mergeCell ref="BC68:BC71"/>
    <mergeCell ref="BD68:BD71"/>
    <mergeCell ref="AS68:AS71"/>
    <mergeCell ref="AT68:AT71"/>
    <mergeCell ref="AU68:AU71"/>
    <mergeCell ref="AV68:AV71"/>
    <mergeCell ref="AW68:AW71"/>
    <mergeCell ref="AX68:AX71"/>
    <mergeCell ref="AM68:AM71"/>
    <mergeCell ref="AN68:AN71"/>
    <mergeCell ref="AO68:AO71"/>
    <mergeCell ref="AP68:AP71"/>
    <mergeCell ref="AQ68:AQ71"/>
    <mergeCell ref="AR68:AR71"/>
    <mergeCell ref="AG68:AG71"/>
    <mergeCell ref="AH68:AH71"/>
    <mergeCell ref="AI68:AI71"/>
    <mergeCell ref="AJ68:AJ71"/>
    <mergeCell ref="AK68:AK71"/>
    <mergeCell ref="AL68:AL71"/>
    <mergeCell ref="AA68:AA71"/>
    <mergeCell ref="AB68:AB71"/>
    <mergeCell ref="AC68:AC71"/>
    <mergeCell ref="AD68:AD71"/>
    <mergeCell ref="AE68:AE71"/>
    <mergeCell ref="AF68:AF71"/>
    <mergeCell ref="BJ61:BJ66"/>
    <mergeCell ref="AJ67:AK67"/>
    <mergeCell ref="AL67:AM67"/>
    <mergeCell ref="AO67:AP67"/>
    <mergeCell ref="O68:O71"/>
    <mergeCell ref="P68:P71"/>
    <mergeCell ref="Q68:Q71"/>
    <mergeCell ref="S68:S71"/>
    <mergeCell ref="T68:T71"/>
    <mergeCell ref="Z68:Z71"/>
    <mergeCell ref="BD61:BD66"/>
    <mergeCell ref="BE61:BE66"/>
    <mergeCell ref="BF61:BF66"/>
    <mergeCell ref="BG61:BG66"/>
    <mergeCell ref="BH61:BH66"/>
    <mergeCell ref="BI61:BI66"/>
    <mergeCell ref="AX61:AX66"/>
    <mergeCell ref="AY61:AY66"/>
    <mergeCell ref="AZ61:AZ66"/>
    <mergeCell ref="BA61:BA66"/>
    <mergeCell ref="BB61:BB66"/>
    <mergeCell ref="BC61:BC66"/>
    <mergeCell ref="AR61:AR66"/>
    <mergeCell ref="AS61:AS66"/>
    <mergeCell ref="AT61:AT66"/>
    <mergeCell ref="AU61:AU66"/>
    <mergeCell ref="AV61:AV66"/>
    <mergeCell ref="AW61:AW66"/>
    <mergeCell ref="AL61:AL66"/>
    <mergeCell ref="AM61:AM66"/>
    <mergeCell ref="AN61:AN66"/>
    <mergeCell ref="AO61:AO66"/>
    <mergeCell ref="AP61:AP66"/>
    <mergeCell ref="AQ61:AQ66"/>
    <mergeCell ref="AF61:AF66"/>
    <mergeCell ref="AG61:AG66"/>
    <mergeCell ref="AH61:AH66"/>
    <mergeCell ref="AI61:AI66"/>
    <mergeCell ref="AJ61:AJ66"/>
    <mergeCell ref="AK61:AK66"/>
    <mergeCell ref="Z61:Z66"/>
    <mergeCell ref="AA61:AA66"/>
    <mergeCell ref="AB61:AB66"/>
    <mergeCell ref="AC61:AC66"/>
    <mergeCell ref="AD61:AD66"/>
    <mergeCell ref="AE61:AE66"/>
    <mergeCell ref="P61:P66"/>
    <mergeCell ref="Q61:Q66"/>
    <mergeCell ref="R61:R66"/>
    <mergeCell ref="S61:S66"/>
    <mergeCell ref="T61:T66"/>
    <mergeCell ref="U61:U66"/>
    <mergeCell ref="J61:J66"/>
    <mergeCell ref="K61:K66"/>
    <mergeCell ref="L61:L66"/>
    <mergeCell ref="M61:M66"/>
    <mergeCell ref="N61:N66"/>
    <mergeCell ref="O61:O66"/>
    <mergeCell ref="BH58:BH60"/>
    <mergeCell ref="BI58:BI60"/>
    <mergeCell ref="BJ58:BJ60"/>
    <mergeCell ref="J59:J60"/>
    <mergeCell ref="K59:K60"/>
    <mergeCell ref="L59:L60"/>
    <mergeCell ref="M59:M60"/>
    <mergeCell ref="N59:N60"/>
    <mergeCell ref="R59:R60"/>
    <mergeCell ref="AA59:AA60"/>
    <mergeCell ref="BB58:BB60"/>
    <mergeCell ref="BC58:BC60"/>
    <mergeCell ref="BD58:BD60"/>
    <mergeCell ref="BE58:BE60"/>
    <mergeCell ref="BF58:BF60"/>
    <mergeCell ref="BG58:BG60"/>
    <mergeCell ref="AV58:AV60"/>
    <mergeCell ref="AW58:AW60"/>
    <mergeCell ref="AX58:AX60"/>
    <mergeCell ref="AY58:AY60"/>
    <mergeCell ref="AZ58:AZ60"/>
    <mergeCell ref="BA58:BA60"/>
    <mergeCell ref="AP58:AP60"/>
    <mergeCell ref="AQ58:AQ60"/>
    <mergeCell ref="AR58:AR60"/>
    <mergeCell ref="AS58:AS60"/>
    <mergeCell ref="AT58:AT60"/>
    <mergeCell ref="AU58:AU60"/>
    <mergeCell ref="AJ58:AJ60"/>
    <mergeCell ref="AK58:AK60"/>
    <mergeCell ref="AL58:AL60"/>
    <mergeCell ref="AM58:AM60"/>
    <mergeCell ref="AN58:AN60"/>
    <mergeCell ref="AO58:AO60"/>
    <mergeCell ref="AD58:AD60"/>
    <mergeCell ref="AE58:AE60"/>
    <mergeCell ref="AF58:AF60"/>
    <mergeCell ref="AG58:AG60"/>
    <mergeCell ref="AH58:AH60"/>
    <mergeCell ref="AI58:AI60"/>
    <mergeCell ref="AI57:AJ57"/>
    <mergeCell ref="AN57:AO57"/>
    <mergeCell ref="O58:O60"/>
    <mergeCell ref="P58:P60"/>
    <mergeCell ref="Q58:Q60"/>
    <mergeCell ref="S58:S60"/>
    <mergeCell ref="T58:T60"/>
    <mergeCell ref="Z58:Z60"/>
    <mergeCell ref="AB58:AB60"/>
    <mergeCell ref="AC58:AC60"/>
    <mergeCell ref="BE55:BE56"/>
    <mergeCell ref="BF55:BF56"/>
    <mergeCell ref="BG55:BG56"/>
    <mergeCell ref="BH55:BH56"/>
    <mergeCell ref="BI55:BI56"/>
    <mergeCell ref="BJ55:BJ56"/>
    <mergeCell ref="AY55:AY56"/>
    <mergeCell ref="AZ55:AZ56"/>
    <mergeCell ref="BA55:BA56"/>
    <mergeCell ref="BB55:BB56"/>
    <mergeCell ref="BC55:BC56"/>
    <mergeCell ref="BD55:BD56"/>
    <mergeCell ref="AS55:AS56"/>
    <mergeCell ref="AT55:AT56"/>
    <mergeCell ref="AU55:AU56"/>
    <mergeCell ref="AV55:AV56"/>
    <mergeCell ref="AW55:AW56"/>
    <mergeCell ref="AX55:AX56"/>
    <mergeCell ref="AM55:AM56"/>
    <mergeCell ref="AN55:AN56"/>
    <mergeCell ref="AO55:AO56"/>
    <mergeCell ref="AP55:AP56"/>
    <mergeCell ref="AQ55:AQ56"/>
    <mergeCell ref="AR55:AR56"/>
    <mergeCell ref="AG55:AG56"/>
    <mergeCell ref="AH55:AH56"/>
    <mergeCell ref="AI55:AI56"/>
    <mergeCell ref="AJ55:AJ56"/>
    <mergeCell ref="AK55:AK56"/>
    <mergeCell ref="AL55:AL56"/>
    <mergeCell ref="AA55:AA56"/>
    <mergeCell ref="AB55:AB56"/>
    <mergeCell ref="AC55:AC56"/>
    <mergeCell ref="AD55:AD56"/>
    <mergeCell ref="AE55:AE56"/>
    <mergeCell ref="AF55:AF56"/>
    <mergeCell ref="O55:O56"/>
    <mergeCell ref="P55:P56"/>
    <mergeCell ref="Q55:Q56"/>
    <mergeCell ref="S55:S56"/>
    <mergeCell ref="T55:T56"/>
    <mergeCell ref="Z55:Z56"/>
    <mergeCell ref="BE51:BE52"/>
    <mergeCell ref="BF51:BF52"/>
    <mergeCell ref="BG51:BG52"/>
    <mergeCell ref="BH51:BH52"/>
    <mergeCell ref="BI51:BI52"/>
    <mergeCell ref="BJ51:BJ52"/>
    <mergeCell ref="AY51:AY52"/>
    <mergeCell ref="AZ51:AZ52"/>
    <mergeCell ref="BA51:BA52"/>
    <mergeCell ref="BB51:BB52"/>
    <mergeCell ref="BC51:BC52"/>
    <mergeCell ref="BD51:BD52"/>
    <mergeCell ref="AS51:AS52"/>
    <mergeCell ref="AT51:AT52"/>
    <mergeCell ref="AU51:AU52"/>
    <mergeCell ref="AV51:AV52"/>
    <mergeCell ref="AW51:AW52"/>
    <mergeCell ref="AX51:AX52"/>
    <mergeCell ref="AM51:AM52"/>
    <mergeCell ref="AN51:AN52"/>
    <mergeCell ref="AO51:AO52"/>
    <mergeCell ref="AP51:AP52"/>
    <mergeCell ref="AQ51:AQ52"/>
    <mergeCell ref="AR51:AR52"/>
    <mergeCell ref="AG51:AG52"/>
    <mergeCell ref="AH51:AH52"/>
    <mergeCell ref="AI51:AI52"/>
    <mergeCell ref="AJ51:AJ52"/>
    <mergeCell ref="AK51:AK52"/>
    <mergeCell ref="AL51:AL52"/>
    <mergeCell ref="AA51:AA52"/>
    <mergeCell ref="AB51:AB52"/>
    <mergeCell ref="AC51:AC52"/>
    <mergeCell ref="AD51:AD52"/>
    <mergeCell ref="AE51:AE52"/>
    <mergeCell ref="AF51:AF52"/>
    <mergeCell ref="BJ47:BJ49"/>
    <mergeCell ref="AI50:AJ50"/>
    <mergeCell ref="AL50:AM50"/>
    <mergeCell ref="AN50:AO50"/>
    <mergeCell ref="O51:O52"/>
    <mergeCell ref="P51:P52"/>
    <mergeCell ref="Q51:Q52"/>
    <mergeCell ref="S51:S52"/>
    <mergeCell ref="T51:T52"/>
    <mergeCell ref="Z51:Z52"/>
    <mergeCell ref="BD47:BD49"/>
    <mergeCell ref="BE47:BE49"/>
    <mergeCell ref="BF47:BF49"/>
    <mergeCell ref="BG47:BG49"/>
    <mergeCell ref="BH47:BH49"/>
    <mergeCell ref="BI47:BI49"/>
    <mergeCell ref="AX47:AX49"/>
    <mergeCell ref="AY47:AY49"/>
    <mergeCell ref="AZ47:AZ49"/>
    <mergeCell ref="BA47:BA49"/>
    <mergeCell ref="BB47:BB49"/>
    <mergeCell ref="BC47:BC49"/>
    <mergeCell ref="AR47:AR49"/>
    <mergeCell ref="AS47:AS49"/>
    <mergeCell ref="AT47:AT49"/>
    <mergeCell ref="AU47:AU49"/>
    <mergeCell ref="AV47:AV49"/>
    <mergeCell ref="AW47:AW49"/>
    <mergeCell ref="AL47:AL49"/>
    <mergeCell ref="AM47:AM49"/>
    <mergeCell ref="AN47:AN49"/>
    <mergeCell ref="AO47:AO49"/>
    <mergeCell ref="AP47:AP49"/>
    <mergeCell ref="AQ47:AQ49"/>
    <mergeCell ref="AF47:AF49"/>
    <mergeCell ref="AG47:AG49"/>
    <mergeCell ref="AH47:AH49"/>
    <mergeCell ref="AI47:AI49"/>
    <mergeCell ref="AJ47:AJ49"/>
    <mergeCell ref="AK47:AK49"/>
    <mergeCell ref="Z47:Z49"/>
    <mergeCell ref="AA47:AA49"/>
    <mergeCell ref="AB47:AB49"/>
    <mergeCell ref="AC47:AC49"/>
    <mergeCell ref="AD47:AD49"/>
    <mergeCell ref="AE47:AE49"/>
    <mergeCell ref="P47:P49"/>
    <mergeCell ref="Q47:Q49"/>
    <mergeCell ref="R47:R49"/>
    <mergeCell ref="S47:S49"/>
    <mergeCell ref="T47:T49"/>
    <mergeCell ref="U47:U49"/>
    <mergeCell ref="J47:J49"/>
    <mergeCell ref="K47:K49"/>
    <mergeCell ref="L47:L49"/>
    <mergeCell ref="M47:M49"/>
    <mergeCell ref="N47:N49"/>
    <mergeCell ref="O47:O49"/>
    <mergeCell ref="BI43:BI46"/>
    <mergeCell ref="BJ43:BJ46"/>
    <mergeCell ref="J45:J46"/>
    <mergeCell ref="K45:K46"/>
    <mergeCell ref="L45:L46"/>
    <mergeCell ref="M45:M46"/>
    <mergeCell ref="N45:N46"/>
    <mergeCell ref="R45:R46"/>
    <mergeCell ref="U45:U46"/>
    <mergeCell ref="Z45:Z46"/>
    <mergeCell ref="BC43:BC46"/>
    <mergeCell ref="BD43:BD46"/>
    <mergeCell ref="BE43:BE46"/>
    <mergeCell ref="BF43:BF46"/>
    <mergeCell ref="BG43:BG46"/>
    <mergeCell ref="BH43:BH46"/>
    <mergeCell ref="AW43:AW46"/>
    <mergeCell ref="AX43:AX46"/>
    <mergeCell ref="AY43:AY46"/>
    <mergeCell ref="AZ43:AZ46"/>
    <mergeCell ref="BA43:BA46"/>
    <mergeCell ref="BB43:BB46"/>
    <mergeCell ref="AQ43:AQ46"/>
    <mergeCell ref="AR43:AR46"/>
    <mergeCell ref="AS43:AS46"/>
    <mergeCell ref="AT43:AT46"/>
    <mergeCell ref="AU43:AU46"/>
    <mergeCell ref="AV43:AV46"/>
    <mergeCell ref="AK43:AK46"/>
    <mergeCell ref="AL43:AL46"/>
    <mergeCell ref="AM43:AM46"/>
    <mergeCell ref="AN43:AN46"/>
    <mergeCell ref="AO43:AO46"/>
    <mergeCell ref="AP43:AP46"/>
    <mergeCell ref="AE43:AE46"/>
    <mergeCell ref="AF43:AF46"/>
    <mergeCell ref="AG43:AG46"/>
    <mergeCell ref="AH43:AH46"/>
    <mergeCell ref="AI43:AI46"/>
    <mergeCell ref="AJ43:AJ46"/>
    <mergeCell ref="U43:U44"/>
    <mergeCell ref="Z43:Z44"/>
    <mergeCell ref="AA43:AA46"/>
    <mergeCell ref="AB43:AB46"/>
    <mergeCell ref="AC43:AC46"/>
    <mergeCell ref="AD43:AD46"/>
    <mergeCell ref="O43:O46"/>
    <mergeCell ref="P43:P46"/>
    <mergeCell ref="Q43:Q46"/>
    <mergeCell ref="R43:R44"/>
    <mergeCell ref="S43:S46"/>
    <mergeCell ref="T43:T46"/>
    <mergeCell ref="BF40:BF41"/>
    <mergeCell ref="BG40:BG41"/>
    <mergeCell ref="BH40:BH41"/>
    <mergeCell ref="BI40:BI41"/>
    <mergeCell ref="BJ40:BJ41"/>
    <mergeCell ref="J43:J44"/>
    <mergeCell ref="K43:K44"/>
    <mergeCell ref="L43:L44"/>
    <mergeCell ref="M43:M44"/>
    <mergeCell ref="N43:N44"/>
    <mergeCell ref="AZ40:AZ41"/>
    <mergeCell ref="BA40:BA41"/>
    <mergeCell ref="BB40:BB41"/>
    <mergeCell ref="BC40:BC41"/>
    <mergeCell ref="BD40:BD41"/>
    <mergeCell ref="BE40:BE41"/>
    <mergeCell ref="AT40:AT41"/>
    <mergeCell ref="AU40:AU41"/>
    <mergeCell ref="AV40:AV41"/>
    <mergeCell ref="AW40:AW41"/>
    <mergeCell ref="AX40:AX41"/>
    <mergeCell ref="AY40:AY41"/>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G39:AH39"/>
    <mergeCell ref="AJ39:AK39"/>
    <mergeCell ref="AM39:AN39"/>
    <mergeCell ref="O40:O41"/>
    <mergeCell ref="P40:P41"/>
    <mergeCell ref="Q40:Q41"/>
    <mergeCell ref="S40:S41"/>
    <mergeCell ref="T40:T41"/>
    <mergeCell ref="Z40:Z41"/>
    <mergeCell ref="AA40:AA41"/>
    <mergeCell ref="AI36:AI38"/>
    <mergeCell ref="AJ36:AJ38"/>
    <mergeCell ref="AK36:AK38"/>
    <mergeCell ref="AL36:AL38"/>
    <mergeCell ref="AA36:AA38"/>
    <mergeCell ref="AB36:AB38"/>
    <mergeCell ref="AC36:AC38"/>
    <mergeCell ref="AD36:AD38"/>
    <mergeCell ref="AE36:AE38"/>
    <mergeCell ref="AF36:AF38"/>
    <mergeCell ref="BE36:BE38"/>
    <mergeCell ref="BF36:BF38"/>
    <mergeCell ref="BG36:BG38"/>
    <mergeCell ref="BH36:BH38"/>
    <mergeCell ref="BI36:BI38"/>
    <mergeCell ref="BJ36:BJ38"/>
    <mergeCell ref="AY36:AY38"/>
    <mergeCell ref="AZ36:AZ38"/>
    <mergeCell ref="BA36:BA38"/>
    <mergeCell ref="BB36:BB38"/>
    <mergeCell ref="BC36:BC38"/>
    <mergeCell ref="BD36:BD38"/>
    <mergeCell ref="AS36:AS38"/>
    <mergeCell ref="AT36:AT38"/>
    <mergeCell ref="AU36:AU38"/>
    <mergeCell ref="AV36:AV38"/>
    <mergeCell ref="AW36:AW38"/>
    <mergeCell ref="AX36:AX38"/>
    <mergeCell ref="BG30:BG32"/>
    <mergeCell ref="BH30:BH32"/>
    <mergeCell ref="BI30:BI32"/>
    <mergeCell ref="BJ30:BJ32"/>
    <mergeCell ref="AY30:AY32"/>
    <mergeCell ref="AZ30:AZ32"/>
    <mergeCell ref="BA30:BA32"/>
    <mergeCell ref="BB30:BB32"/>
    <mergeCell ref="BC30:BC32"/>
    <mergeCell ref="BD30:BD32"/>
    <mergeCell ref="AS30:AS32"/>
    <mergeCell ref="AT30:AT32"/>
    <mergeCell ref="AU30:AU32"/>
    <mergeCell ref="AV30:AV32"/>
    <mergeCell ref="AW30:AW32"/>
    <mergeCell ref="AX30:AX32"/>
    <mergeCell ref="AM30:AM32"/>
    <mergeCell ref="AN30:AN32"/>
    <mergeCell ref="AO30:AO32"/>
    <mergeCell ref="AP30:AP32"/>
    <mergeCell ref="AQ30:AQ32"/>
    <mergeCell ref="AR30:AR32"/>
    <mergeCell ref="O30:O32"/>
    <mergeCell ref="P30:P32"/>
    <mergeCell ref="Q30:Q32"/>
    <mergeCell ref="S30:S32"/>
    <mergeCell ref="T30:T32"/>
    <mergeCell ref="Z30:Z32"/>
    <mergeCell ref="BF25:BF28"/>
    <mergeCell ref="AH25:AH28"/>
    <mergeCell ref="AB25:AB28"/>
    <mergeCell ref="AC25:AC28"/>
    <mergeCell ref="AD25:AD28"/>
    <mergeCell ref="AE25:AE28"/>
    <mergeCell ref="AF25:AF28"/>
    <mergeCell ref="AG25:AG28"/>
    <mergeCell ref="O36:O38"/>
    <mergeCell ref="P36:P38"/>
    <mergeCell ref="Q36:Q38"/>
    <mergeCell ref="S36:S38"/>
    <mergeCell ref="T36:T38"/>
    <mergeCell ref="Z36:Z38"/>
    <mergeCell ref="BE30:BE32"/>
    <mergeCell ref="BF30:BF32"/>
    <mergeCell ref="AG30:AG32"/>
    <mergeCell ref="AH30:AH32"/>
    <mergeCell ref="AM36:AM38"/>
    <mergeCell ref="AN36:AN38"/>
    <mergeCell ref="AO36:AO38"/>
    <mergeCell ref="AP36:AP38"/>
    <mergeCell ref="AQ36:AQ38"/>
    <mergeCell ref="AR36:AR38"/>
    <mergeCell ref="AG36:AG38"/>
    <mergeCell ref="AH36:AH38"/>
    <mergeCell ref="AO25:AO28"/>
    <mergeCell ref="AP25:AP28"/>
    <mergeCell ref="AQ25:AQ28"/>
    <mergeCell ref="AR25:AR28"/>
    <mergeCell ref="AS25:AS28"/>
    <mergeCell ref="AI25:AI28"/>
    <mergeCell ref="AJ25:AJ28"/>
    <mergeCell ref="AK25:AK28"/>
    <mergeCell ref="AL25:AL28"/>
    <mergeCell ref="AM25:AM28"/>
    <mergeCell ref="AI30:AI32"/>
    <mergeCell ref="AJ30:AJ32"/>
    <mergeCell ref="AK30:AK32"/>
    <mergeCell ref="AL30:AL32"/>
    <mergeCell ref="AA30:AA32"/>
    <mergeCell ref="AB30:AB32"/>
    <mergeCell ref="AC30:AC32"/>
    <mergeCell ref="AD30:AD32"/>
    <mergeCell ref="AE30:AE32"/>
    <mergeCell ref="AF30:AF32"/>
    <mergeCell ref="BC22:BC23"/>
    <mergeCell ref="BD22:BD23"/>
    <mergeCell ref="AS22:AS23"/>
    <mergeCell ref="AT22:AT23"/>
    <mergeCell ref="AU22:AU23"/>
    <mergeCell ref="AV22:AV23"/>
    <mergeCell ref="AW22:AW23"/>
    <mergeCell ref="AX22:AX23"/>
    <mergeCell ref="AM22:AM23"/>
    <mergeCell ref="AN22:AN23"/>
    <mergeCell ref="AO22:AO23"/>
    <mergeCell ref="AP22:AP23"/>
    <mergeCell ref="BG25:BG28"/>
    <mergeCell ref="BH25:BH28"/>
    <mergeCell ref="BI25:BI28"/>
    <mergeCell ref="BJ25:BJ28"/>
    <mergeCell ref="AI29:AJ29"/>
    <mergeCell ref="AL29:AM29"/>
    <mergeCell ref="AN29:AO29"/>
    <mergeCell ref="AQ29:AR29"/>
    <mergeCell ref="AZ25:AZ28"/>
    <mergeCell ref="BA25:BA28"/>
    <mergeCell ref="BB25:BB28"/>
    <mergeCell ref="BC25:BC28"/>
    <mergeCell ref="BD25:BD28"/>
    <mergeCell ref="BE25:BE28"/>
    <mergeCell ref="AT25:AT28"/>
    <mergeCell ref="AU25:AU28"/>
    <mergeCell ref="AV25:AV28"/>
    <mergeCell ref="AW25:AW28"/>
    <mergeCell ref="AX25:AX28"/>
    <mergeCell ref="AY25:AY28"/>
    <mergeCell ref="AA22:AA23"/>
    <mergeCell ref="AB22:AB23"/>
    <mergeCell ref="AC22:AC23"/>
    <mergeCell ref="AD22:AD23"/>
    <mergeCell ref="AE22:AE23"/>
    <mergeCell ref="AF22:AF23"/>
    <mergeCell ref="O22:O23"/>
    <mergeCell ref="P22:P23"/>
    <mergeCell ref="Q22:Q23"/>
    <mergeCell ref="S22:S23"/>
    <mergeCell ref="T22:T23"/>
    <mergeCell ref="Z22:Z23"/>
    <mergeCell ref="AH24:AI24"/>
    <mergeCell ref="AK24:AL24"/>
    <mergeCell ref="AM24:AN24"/>
    <mergeCell ref="O25:O28"/>
    <mergeCell ref="P25:P28"/>
    <mergeCell ref="Q25:Q28"/>
    <mergeCell ref="S25:S28"/>
    <mergeCell ref="T25:T28"/>
    <mergeCell ref="Z25:Z28"/>
    <mergeCell ref="AA25:AA28"/>
    <mergeCell ref="AN25:AN28"/>
    <mergeCell ref="BI17:BI19"/>
    <mergeCell ref="BJ17:BJ19"/>
    <mergeCell ref="AY17:AY19"/>
    <mergeCell ref="AZ17:AZ19"/>
    <mergeCell ref="BA17:BA19"/>
    <mergeCell ref="BB17:BB19"/>
    <mergeCell ref="BC17:BC19"/>
    <mergeCell ref="BD17:BD19"/>
    <mergeCell ref="AS17:AS19"/>
    <mergeCell ref="AT17:AT19"/>
    <mergeCell ref="AU17:AU19"/>
    <mergeCell ref="AV17:AV19"/>
    <mergeCell ref="AW17:AW19"/>
    <mergeCell ref="AX17:AX19"/>
    <mergeCell ref="AQ22:AQ23"/>
    <mergeCell ref="AR22:AR23"/>
    <mergeCell ref="AG22:AG23"/>
    <mergeCell ref="AH22:AH23"/>
    <mergeCell ref="AI22:AI23"/>
    <mergeCell ref="AJ22:AJ23"/>
    <mergeCell ref="AK22:AK23"/>
    <mergeCell ref="AL22:AL23"/>
    <mergeCell ref="BE22:BE23"/>
    <mergeCell ref="BF22:BF23"/>
    <mergeCell ref="BG22:BG23"/>
    <mergeCell ref="BH22:BH23"/>
    <mergeCell ref="BI22:BI23"/>
    <mergeCell ref="BJ22:BJ23"/>
    <mergeCell ref="AY22:AY23"/>
    <mergeCell ref="AZ22:AZ23"/>
    <mergeCell ref="BA22:BA23"/>
    <mergeCell ref="BB22:BB23"/>
    <mergeCell ref="AB17:AB19"/>
    <mergeCell ref="AC17:AC19"/>
    <mergeCell ref="AD17:AD19"/>
    <mergeCell ref="AE17:AE19"/>
    <mergeCell ref="AF17:AF19"/>
    <mergeCell ref="BE17:BE19"/>
    <mergeCell ref="BF17:BF19"/>
    <mergeCell ref="BG17:BG19"/>
    <mergeCell ref="AB7:AM7"/>
    <mergeCell ref="AN7:AY7"/>
    <mergeCell ref="AZ7:BE7"/>
    <mergeCell ref="AP8:AQ8"/>
    <mergeCell ref="BH17:BH19"/>
    <mergeCell ref="BE8:BE9"/>
    <mergeCell ref="AJ16:AK16"/>
    <mergeCell ref="AM16:AN16"/>
    <mergeCell ref="AO16:AP16"/>
    <mergeCell ref="O17:O19"/>
    <mergeCell ref="P17:P19"/>
    <mergeCell ref="Q17:Q19"/>
    <mergeCell ref="S17:S19"/>
    <mergeCell ref="T17:T19"/>
    <mergeCell ref="Z17:Z19"/>
    <mergeCell ref="AX8:AY8"/>
    <mergeCell ref="AZ8:AZ9"/>
    <mergeCell ref="BA8:BA9"/>
    <mergeCell ref="BB8:BB9"/>
    <mergeCell ref="BC8:BC9"/>
    <mergeCell ref="BD8:BD9"/>
    <mergeCell ref="BF7:BG8"/>
    <mergeCell ref="Q7:Q9"/>
    <mergeCell ref="R7:R9"/>
    <mergeCell ref="S7:S9"/>
    <mergeCell ref="T7:T9"/>
    <mergeCell ref="U7:U9"/>
    <mergeCell ref="V7:V9"/>
    <mergeCell ref="AM17:AM19"/>
    <mergeCell ref="AN17:AN19"/>
    <mergeCell ref="AO17:AO19"/>
    <mergeCell ref="AP17:AP19"/>
    <mergeCell ref="AQ17:AQ19"/>
    <mergeCell ref="AR17:AR19"/>
    <mergeCell ref="AG17:AG19"/>
    <mergeCell ref="AH17:AH19"/>
    <mergeCell ref="AI17:AI19"/>
    <mergeCell ref="AJ17:AJ19"/>
    <mergeCell ref="AK17:AK19"/>
    <mergeCell ref="AL17:AL19"/>
    <mergeCell ref="AA17:AA19"/>
    <mergeCell ref="J7:J9"/>
    <mergeCell ref="K7:K9"/>
    <mergeCell ref="L7:L9"/>
    <mergeCell ref="M7:N8"/>
    <mergeCell ref="O7:O9"/>
    <mergeCell ref="P7:P9"/>
    <mergeCell ref="A7:A9"/>
    <mergeCell ref="B7:C9"/>
    <mergeCell ref="D7:D9"/>
    <mergeCell ref="E7:F9"/>
    <mergeCell ref="G7:G9"/>
    <mergeCell ref="H7:I9"/>
    <mergeCell ref="A1:BF4"/>
    <mergeCell ref="A5:M6"/>
    <mergeCell ref="Q6:AA6"/>
    <mergeCell ref="AB6:AY6"/>
    <mergeCell ref="BF6:BJ6"/>
    <mergeCell ref="BH7:BI8"/>
    <mergeCell ref="BJ7:BJ9"/>
    <mergeCell ref="AB8:AC8"/>
    <mergeCell ref="AD8:AE8"/>
    <mergeCell ref="AF8:AG8"/>
    <mergeCell ref="AH8:AI8"/>
    <mergeCell ref="AJ8:AK8"/>
    <mergeCell ref="AL8:AM8"/>
    <mergeCell ref="AN8:AO8"/>
    <mergeCell ref="W7:Y8"/>
    <mergeCell ref="Z7:Z9"/>
    <mergeCell ref="AA7:AA9"/>
    <mergeCell ref="AR8:AS8"/>
    <mergeCell ref="AT8:AU8"/>
    <mergeCell ref="AV8:AW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J68"/>
  <sheetViews>
    <sheetView topLeftCell="L1" zoomScale="70" zoomScaleNormal="70" zoomScalePageLayoutView="59" workbookViewId="0">
      <selection activeCell="W8" sqref="U8:W8"/>
    </sheetView>
  </sheetViews>
  <sheetFormatPr baseColWidth="10" defaultColWidth="11.42578125" defaultRowHeight="14.25" x14ac:dyDescent="0.2"/>
  <cols>
    <col min="1" max="1" width="17.85546875" style="20" customWidth="1"/>
    <col min="2" max="2" width="14.7109375" style="20" customWidth="1"/>
    <col min="3" max="3" width="9.5703125" style="20" customWidth="1"/>
    <col min="4" max="4" width="16" style="20" customWidth="1"/>
    <col min="5" max="5" width="10.42578125" style="20" customWidth="1"/>
    <col min="6" max="6" width="18.5703125" style="20" customWidth="1"/>
    <col min="7" max="7" width="11.5703125" style="20" customWidth="1"/>
    <col min="8" max="8" width="26.42578125" style="20" customWidth="1"/>
    <col min="9" max="9" width="14.5703125" style="20" customWidth="1"/>
    <col min="10" max="10" width="11.28515625" style="20" customWidth="1"/>
    <col min="11" max="11" width="11.28515625" style="1607" customWidth="1"/>
    <col min="12" max="12" width="17.42578125" style="20" bestFit="1" customWidth="1"/>
    <col min="13" max="13" width="9.5703125" style="20" bestFit="1" customWidth="1"/>
    <col min="14" max="14" width="23.42578125" style="20" customWidth="1"/>
    <col min="15" max="15" width="11.7109375" style="20" customWidth="1"/>
    <col min="16" max="16" width="24.42578125" style="1591" hidden="1" customWidth="1"/>
    <col min="17" max="17" width="21" style="1591" customWidth="1"/>
    <col min="18" max="18" width="31.85546875" style="1588" customWidth="1"/>
    <col min="19" max="19" width="30.5703125" style="1588" customWidth="1"/>
    <col min="20" max="20" width="25" style="1588" customWidth="1"/>
    <col min="21" max="22" width="21.7109375" style="20" customWidth="1"/>
    <col min="23" max="23" width="19.85546875" style="1607" bestFit="1" customWidth="1"/>
    <col min="24" max="24" width="9.5703125" style="1893" bestFit="1" customWidth="1"/>
    <col min="25" max="25" width="17.28515625" style="20" customWidth="1"/>
    <col min="26" max="26" width="10.85546875" style="20" customWidth="1"/>
    <col min="27" max="27" width="7.140625" style="1607" bestFit="1" customWidth="1"/>
    <col min="28" max="28" width="11.42578125" style="20" customWidth="1"/>
    <col min="29" max="29" width="7.42578125" style="1607" bestFit="1" customWidth="1"/>
    <col min="30" max="30" width="6.7109375" style="20" customWidth="1"/>
    <col min="31" max="31" width="7.42578125" style="1607" bestFit="1" customWidth="1"/>
    <col min="32" max="32" width="9.28515625" style="20" customWidth="1"/>
    <col min="33" max="33" width="9.28515625" style="1607" customWidth="1"/>
    <col min="34" max="34" width="9.7109375" style="20" customWidth="1"/>
    <col min="35" max="35" width="9.7109375" style="1607" customWidth="1"/>
    <col min="36" max="36" width="9.140625" style="20" customWidth="1"/>
    <col min="37" max="37" width="9.140625" style="1607" customWidth="1"/>
    <col min="38" max="38" width="9.140625" style="20" customWidth="1"/>
    <col min="39" max="39" width="9.140625" style="1607" customWidth="1"/>
    <col min="40" max="40" width="9.140625" style="20" customWidth="1"/>
    <col min="41" max="41" width="9.140625" style="1607" customWidth="1"/>
    <col min="42" max="42" width="9.140625" style="20" customWidth="1"/>
    <col min="43" max="43" width="9.140625" style="1607" customWidth="1"/>
    <col min="44" max="44" width="9.140625" style="20" customWidth="1"/>
    <col min="45" max="45" width="9.140625" style="1607" customWidth="1"/>
    <col min="46" max="46" width="9.140625" style="20" customWidth="1"/>
    <col min="47" max="47" width="9.140625" style="1607" customWidth="1"/>
    <col min="48" max="48" width="9.140625" style="20" customWidth="1"/>
    <col min="49" max="49" width="9.140625" style="1607" customWidth="1"/>
    <col min="50" max="50" width="9.140625" style="20" customWidth="1"/>
    <col min="51" max="51" width="9.140625" style="1607" customWidth="1"/>
    <col min="52" max="52" width="15.28515625" style="1534" customWidth="1"/>
    <col min="53" max="53" width="23.85546875" style="20" customWidth="1"/>
    <col min="54" max="54" width="22.5703125" style="20" customWidth="1"/>
    <col min="55" max="56" width="23.85546875" style="1893" customWidth="1"/>
    <col min="57" max="57" width="23.85546875" style="1588" customWidth="1"/>
    <col min="58" max="58" width="19.85546875" style="1893" customWidth="1"/>
    <col min="59" max="59" width="19.85546875" style="164" customWidth="1"/>
    <col min="60" max="60" width="19.85546875" style="1893" customWidth="1"/>
    <col min="61" max="61" width="19.85546875" style="164" customWidth="1"/>
    <col min="62" max="62" width="24.42578125" style="20" customWidth="1"/>
    <col min="63" max="16384" width="11.42578125" style="20"/>
  </cols>
  <sheetData>
    <row r="1" spans="1:62" s="4" customFormat="1" ht="15" customHeight="1"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2742"/>
      <c r="BD1" s="2742"/>
      <c r="BE1" s="2742"/>
      <c r="BF1" s="2742"/>
      <c r="BG1" s="2742"/>
      <c r="BH1" s="2083"/>
      <c r="BI1" s="1895" t="s">
        <v>1</v>
      </c>
      <c r="BJ1" s="1895" t="s">
        <v>2</v>
      </c>
    </row>
    <row r="2" spans="1:62" s="4" customFormat="1"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2742"/>
      <c r="BD2" s="2742"/>
      <c r="BE2" s="2742"/>
      <c r="BF2" s="2742"/>
      <c r="BG2" s="2742"/>
      <c r="BH2" s="2083"/>
      <c r="BI2" s="1896" t="s">
        <v>3</v>
      </c>
      <c r="BJ2" s="1897">
        <v>5</v>
      </c>
    </row>
    <row r="3" spans="1:62" s="4" customFormat="1"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2742"/>
      <c r="BD3" s="2742"/>
      <c r="BE3" s="2742"/>
      <c r="BF3" s="2742"/>
      <c r="BG3" s="2742"/>
      <c r="BH3" s="2083"/>
      <c r="BI3" s="1895" t="s">
        <v>4</v>
      </c>
      <c r="BJ3" s="1898" t="s">
        <v>5</v>
      </c>
    </row>
    <row r="4" spans="1:62" s="24" customFormat="1" ht="21"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2743"/>
      <c r="BD4" s="2743"/>
      <c r="BE4" s="2743"/>
      <c r="BF4" s="2743"/>
      <c r="BG4" s="2743"/>
      <c r="BH4" s="2084"/>
      <c r="BI4" s="679" t="s">
        <v>6</v>
      </c>
      <c r="BJ4" s="1899" t="s">
        <v>7</v>
      </c>
    </row>
    <row r="5" spans="1:62"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2" s="4" customFormat="1" ht="14.45" customHeight="1" x14ac:dyDescent="0.2">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6"/>
      <c r="AB6" s="2747"/>
      <c r="AC6" s="2745" t="s">
        <v>10</v>
      </c>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6"/>
      <c r="AZ6" s="2747"/>
      <c r="BA6" s="2087"/>
      <c r="BB6" s="2087"/>
      <c r="BC6" s="2087"/>
      <c r="BD6" s="2087"/>
      <c r="BE6" s="2087"/>
      <c r="BF6" s="2087"/>
      <c r="BG6" s="2745"/>
      <c r="BH6" s="2746"/>
      <c r="BI6" s="2746"/>
      <c r="BJ6" s="2746"/>
    </row>
    <row r="7" spans="1:62" s="1900" customFormat="1" ht="36.75" customHeight="1" x14ac:dyDescent="0.2">
      <c r="A7" s="4677" t="s">
        <v>11</v>
      </c>
      <c r="B7" s="4679" t="s">
        <v>1212</v>
      </c>
      <c r="C7" s="4679" t="s">
        <v>11</v>
      </c>
      <c r="D7" s="4679" t="s">
        <v>1213</v>
      </c>
      <c r="E7" s="4679" t="s">
        <v>11</v>
      </c>
      <c r="F7" s="4679" t="s">
        <v>1214</v>
      </c>
      <c r="G7" s="4679" t="s">
        <v>11</v>
      </c>
      <c r="H7" s="4679" t="s">
        <v>2008</v>
      </c>
      <c r="I7" s="4679" t="s">
        <v>16</v>
      </c>
      <c r="J7" s="4689" t="s">
        <v>2009</v>
      </c>
      <c r="K7" s="4690"/>
      <c r="L7" s="4679" t="s">
        <v>18</v>
      </c>
      <c r="M7" s="4679" t="s">
        <v>11</v>
      </c>
      <c r="N7" s="4679" t="s">
        <v>2010</v>
      </c>
      <c r="O7" s="4687" t="s">
        <v>20</v>
      </c>
      <c r="P7" s="4749" t="s">
        <v>2011</v>
      </c>
      <c r="Q7" s="4749" t="s">
        <v>1215</v>
      </c>
      <c r="R7" s="4679" t="s">
        <v>22</v>
      </c>
      <c r="S7" s="4679" t="s">
        <v>23</v>
      </c>
      <c r="T7" s="4679" t="s">
        <v>24</v>
      </c>
      <c r="U7" s="4751" t="s">
        <v>2012</v>
      </c>
      <c r="V7" s="4752"/>
      <c r="W7" s="4753"/>
      <c r="X7" s="4749" t="s">
        <v>11</v>
      </c>
      <c r="Y7" s="4679" t="s">
        <v>25</v>
      </c>
      <c r="Z7" s="4738" t="s">
        <v>1675</v>
      </c>
      <c r="AA7" s="4739"/>
      <c r="AB7" s="4754" t="s">
        <v>33</v>
      </c>
      <c r="AC7" s="4755"/>
      <c r="AD7" s="4740" t="s">
        <v>34</v>
      </c>
      <c r="AE7" s="4741"/>
      <c r="AF7" s="4738" t="s">
        <v>2013</v>
      </c>
      <c r="AG7" s="4739"/>
      <c r="AH7" s="4740" t="s">
        <v>35</v>
      </c>
      <c r="AI7" s="4741"/>
      <c r="AJ7" s="4738" t="s">
        <v>36</v>
      </c>
      <c r="AK7" s="4739"/>
      <c r="AL7" s="4738" t="s">
        <v>37</v>
      </c>
      <c r="AM7" s="4739"/>
      <c r="AN7" s="4747" t="s">
        <v>38</v>
      </c>
      <c r="AO7" s="4748"/>
      <c r="AP7" s="4747" t="s">
        <v>39</v>
      </c>
      <c r="AQ7" s="4748"/>
      <c r="AR7" s="4747" t="s">
        <v>40</v>
      </c>
      <c r="AS7" s="4748"/>
      <c r="AT7" s="4747" t="s">
        <v>41</v>
      </c>
      <c r="AU7" s="4748"/>
      <c r="AV7" s="4747" t="s">
        <v>42</v>
      </c>
      <c r="AW7" s="4748"/>
      <c r="AX7" s="4747" t="s">
        <v>43</v>
      </c>
      <c r="AY7" s="4748"/>
      <c r="AZ7" s="2974" t="s">
        <v>44</v>
      </c>
      <c r="BA7" s="4745" t="s">
        <v>45</v>
      </c>
      <c r="BB7" s="2974" t="s">
        <v>46</v>
      </c>
      <c r="BC7" s="2994" t="s">
        <v>47</v>
      </c>
      <c r="BD7" s="2974" t="s">
        <v>48</v>
      </c>
      <c r="BE7" s="4736" t="s">
        <v>49</v>
      </c>
      <c r="BF7" s="4733" t="s">
        <v>29</v>
      </c>
      <c r="BG7" s="4734"/>
      <c r="BH7" s="4733" t="s">
        <v>30</v>
      </c>
      <c r="BI7" s="4734"/>
      <c r="BJ7" s="2531" t="s">
        <v>31</v>
      </c>
    </row>
    <row r="8" spans="1:62" s="1901" customFormat="1" ht="30" customHeight="1" x14ac:dyDescent="0.2">
      <c r="A8" s="4678"/>
      <c r="B8" s="4680"/>
      <c r="C8" s="4680"/>
      <c r="D8" s="4680"/>
      <c r="E8" s="4680"/>
      <c r="F8" s="4680"/>
      <c r="G8" s="4680"/>
      <c r="H8" s="4680"/>
      <c r="I8" s="4680"/>
      <c r="J8" s="1621" t="s">
        <v>296</v>
      </c>
      <c r="K8" s="1622" t="s">
        <v>51</v>
      </c>
      <c r="L8" s="4680"/>
      <c r="M8" s="4680"/>
      <c r="N8" s="4680"/>
      <c r="O8" s="4688"/>
      <c r="P8" s="4750"/>
      <c r="Q8" s="4750"/>
      <c r="R8" s="4680"/>
      <c r="S8" s="4680"/>
      <c r="T8" s="4680"/>
      <c r="U8" s="896" t="s">
        <v>52</v>
      </c>
      <c r="V8" s="897" t="s">
        <v>53</v>
      </c>
      <c r="W8" s="897" t="s">
        <v>54</v>
      </c>
      <c r="X8" s="4750"/>
      <c r="Y8" s="4680"/>
      <c r="Z8" s="1623" t="s">
        <v>50</v>
      </c>
      <c r="AA8" s="1624" t="s">
        <v>51</v>
      </c>
      <c r="AB8" s="1623" t="s">
        <v>50</v>
      </c>
      <c r="AC8" s="1624" t="s">
        <v>51</v>
      </c>
      <c r="AD8" s="1623" t="s">
        <v>50</v>
      </c>
      <c r="AE8" s="1624" t="s">
        <v>51</v>
      </c>
      <c r="AF8" s="1623" t="s">
        <v>50</v>
      </c>
      <c r="AG8" s="1624" t="s">
        <v>51</v>
      </c>
      <c r="AH8" s="1623" t="s">
        <v>50</v>
      </c>
      <c r="AI8" s="1624" t="s">
        <v>51</v>
      </c>
      <c r="AJ8" s="1623" t="s">
        <v>50</v>
      </c>
      <c r="AK8" s="1624" t="s">
        <v>51</v>
      </c>
      <c r="AL8" s="1623" t="s">
        <v>50</v>
      </c>
      <c r="AM8" s="1624" t="s">
        <v>51</v>
      </c>
      <c r="AN8" s="1623" t="s">
        <v>50</v>
      </c>
      <c r="AO8" s="1624" t="s">
        <v>51</v>
      </c>
      <c r="AP8" s="1623" t="s">
        <v>50</v>
      </c>
      <c r="AQ8" s="1624" t="s">
        <v>51</v>
      </c>
      <c r="AR8" s="1623" t="s">
        <v>50</v>
      </c>
      <c r="AS8" s="1624" t="s">
        <v>51</v>
      </c>
      <c r="AT8" s="1623" t="s">
        <v>50</v>
      </c>
      <c r="AU8" s="1624" t="s">
        <v>51</v>
      </c>
      <c r="AV8" s="1623" t="s">
        <v>50</v>
      </c>
      <c r="AW8" s="1624" t="s">
        <v>51</v>
      </c>
      <c r="AX8" s="1623" t="s">
        <v>50</v>
      </c>
      <c r="AY8" s="1624" t="s">
        <v>51</v>
      </c>
      <c r="AZ8" s="2975"/>
      <c r="BA8" s="4746"/>
      <c r="BB8" s="2975"/>
      <c r="BC8" s="4735"/>
      <c r="BD8" s="2975"/>
      <c r="BE8" s="4737"/>
      <c r="BF8" s="1625" t="s">
        <v>50</v>
      </c>
      <c r="BG8" s="1626" t="s">
        <v>51</v>
      </c>
      <c r="BH8" s="1625" t="s">
        <v>50</v>
      </c>
      <c r="BI8" s="1626" t="s">
        <v>51</v>
      </c>
      <c r="BJ8" s="2531"/>
    </row>
    <row r="9" spans="1:62" ht="20.25" customHeight="1" x14ac:dyDescent="0.2">
      <c r="A9" s="40">
        <v>3</v>
      </c>
      <c r="B9" s="2563" t="s">
        <v>1216</v>
      </c>
      <c r="C9" s="2564"/>
      <c r="D9" s="2564"/>
      <c r="E9" s="2564"/>
      <c r="F9" s="200"/>
      <c r="G9" s="200"/>
      <c r="H9" s="200"/>
      <c r="I9" s="200"/>
      <c r="J9" s="200"/>
      <c r="K9" s="200"/>
      <c r="L9" s="200"/>
      <c r="M9" s="200"/>
      <c r="N9" s="201"/>
      <c r="O9" s="200"/>
      <c r="P9" s="200"/>
      <c r="Q9" s="200"/>
      <c r="R9" s="200"/>
      <c r="S9" s="200"/>
      <c r="T9" s="200"/>
      <c r="U9" s="200"/>
      <c r="V9" s="200"/>
      <c r="W9" s="200"/>
      <c r="X9" s="202"/>
      <c r="Y9" s="203"/>
      <c r="Z9" s="203"/>
      <c r="AA9" s="201"/>
      <c r="AB9" s="200"/>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3"/>
      <c r="BA9" s="200"/>
      <c r="BB9" s="200"/>
      <c r="BC9" s="202"/>
      <c r="BD9" s="202"/>
      <c r="BE9" s="2077"/>
      <c r="BF9" s="202"/>
      <c r="BG9" s="203"/>
      <c r="BH9" s="203"/>
      <c r="BI9" s="203"/>
      <c r="BJ9" s="203"/>
    </row>
    <row r="10" spans="1:62" s="684" customFormat="1" ht="15" x14ac:dyDescent="0.2">
      <c r="A10" s="4742"/>
      <c r="B10" s="4743"/>
      <c r="C10" s="205">
        <v>20</v>
      </c>
      <c r="D10" s="2213" t="s">
        <v>2014</v>
      </c>
      <c r="E10" s="206"/>
      <c r="F10" s="207"/>
      <c r="G10" s="206"/>
      <c r="H10" s="206"/>
      <c r="I10" s="206"/>
      <c r="J10" s="206"/>
      <c r="K10" s="206"/>
      <c r="L10" s="206"/>
      <c r="M10" s="208"/>
      <c r="N10" s="206"/>
      <c r="O10" s="206"/>
      <c r="P10" s="206"/>
      <c r="Q10" s="206"/>
      <c r="R10" s="206"/>
      <c r="S10" s="206"/>
      <c r="T10" s="206"/>
      <c r="U10" s="206"/>
      <c r="V10" s="209"/>
      <c r="W10" s="209"/>
      <c r="X10" s="210"/>
      <c r="Y10" s="210"/>
      <c r="Z10" s="206"/>
      <c r="AA10" s="208"/>
      <c r="AB10" s="206"/>
      <c r="AC10" s="208"/>
      <c r="AD10" s="206"/>
      <c r="AE10" s="208"/>
      <c r="AF10" s="206"/>
      <c r="AG10" s="208"/>
      <c r="AH10" s="206"/>
      <c r="AI10" s="208"/>
      <c r="AJ10" s="206"/>
      <c r="AK10" s="208"/>
      <c r="AL10" s="206"/>
      <c r="AM10" s="208"/>
      <c r="AN10" s="206"/>
      <c r="AO10" s="208"/>
      <c r="AP10" s="206"/>
      <c r="AQ10" s="208"/>
      <c r="AR10" s="206"/>
      <c r="AS10" s="208"/>
      <c r="AT10" s="206"/>
      <c r="AU10" s="208"/>
      <c r="AV10" s="206"/>
      <c r="AW10" s="208"/>
      <c r="AX10" s="206"/>
      <c r="AY10" s="208"/>
      <c r="AZ10" s="209"/>
      <c r="BA10" s="206"/>
      <c r="BB10" s="206"/>
      <c r="BC10" s="209"/>
      <c r="BD10" s="209"/>
      <c r="BE10" s="1571"/>
      <c r="BF10" s="209"/>
      <c r="BG10" s="210"/>
      <c r="BH10" s="209"/>
      <c r="BI10" s="210"/>
      <c r="BJ10" s="211"/>
    </row>
    <row r="11" spans="1:62" s="684" customFormat="1" ht="15" x14ac:dyDescent="0.2">
      <c r="A11" s="4651"/>
      <c r="B11" s="4744"/>
      <c r="C11" s="2626"/>
      <c r="D11" s="2626"/>
      <c r="E11" s="212">
        <v>68</v>
      </c>
      <c r="F11" s="50" t="s">
        <v>2015</v>
      </c>
      <c r="G11" s="50"/>
      <c r="H11" s="50"/>
      <c r="I11" s="50"/>
      <c r="J11" s="50"/>
      <c r="K11" s="50"/>
      <c r="L11" s="50"/>
      <c r="M11" s="50"/>
      <c r="N11" s="50"/>
      <c r="O11" s="50"/>
      <c r="P11" s="50"/>
      <c r="Q11" s="50"/>
      <c r="R11" s="50"/>
      <c r="S11" s="50"/>
      <c r="T11" s="50"/>
      <c r="U11" s="50"/>
      <c r="V11" s="50"/>
      <c r="W11" s="50"/>
      <c r="X11" s="2520"/>
      <c r="Y11" s="50"/>
      <c r="Z11" s="50"/>
      <c r="AA11" s="411"/>
      <c r="AB11" s="50"/>
      <c r="AC11" s="411"/>
      <c r="AD11" s="50"/>
      <c r="AE11" s="411"/>
      <c r="AF11" s="50"/>
      <c r="AG11" s="411"/>
      <c r="AH11" s="50"/>
      <c r="AI11" s="411"/>
      <c r="AJ11" s="50"/>
      <c r="AK11" s="411"/>
      <c r="AL11" s="50"/>
      <c r="AM11" s="411"/>
      <c r="AN11" s="50"/>
      <c r="AO11" s="411"/>
      <c r="AP11" s="50"/>
      <c r="AQ11" s="411"/>
      <c r="AR11" s="50"/>
      <c r="AS11" s="411"/>
      <c r="AT11" s="50"/>
      <c r="AU11" s="411"/>
      <c r="AV11" s="50"/>
      <c r="AW11" s="411"/>
      <c r="AX11" s="50"/>
      <c r="AY11" s="411"/>
      <c r="AZ11" s="2520"/>
      <c r="BA11" s="50"/>
      <c r="BB11" s="50"/>
      <c r="BC11" s="2520"/>
      <c r="BD11" s="2520"/>
      <c r="BE11" s="412"/>
      <c r="BF11" s="2520"/>
      <c r="BG11" s="643"/>
      <c r="BH11" s="2520"/>
      <c r="BI11" s="643"/>
      <c r="BJ11" s="50"/>
    </row>
    <row r="12" spans="1:62" s="684" customFormat="1" ht="21" customHeight="1" x14ac:dyDescent="0.2">
      <c r="A12" s="4651"/>
      <c r="B12" s="4744"/>
      <c r="C12" s="2626"/>
      <c r="D12" s="2626"/>
      <c r="E12" s="4732" t="s">
        <v>197</v>
      </c>
      <c r="F12" s="4732"/>
      <c r="G12" s="2683">
        <v>202</v>
      </c>
      <c r="H12" s="2677" t="s">
        <v>2016</v>
      </c>
      <c r="I12" s="2683" t="s">
        <v>453</v>
      </c>
      <c r="J12" s="2683">
        <v>23</v>
      </c>
      <c r="K12" s="2672">
        <v>23</v>
      </c>
      <c r="L12" s="3890" t="s">
        <v>2017</v>
      </c>
      <c r="M12" s="2683">
        <v>161</v>
      </c>
      <c r="N12" s="4705" t="s">
        <v>2018</v>
      </c>
      <c r="O12" s="2720">
        <f>P12/Q12</f>
        <v>0.79703260562373368</v>
      </c>
      <c r="P12" s="4683">
        <v>216263553</v>
      </c>
      <c r="Q12" s="4686">
        <f>SUM(P12:P16)</f>
        <v>271335892</v>
      </c>
      <c r="R12" s="2716" t="s">
        <v>2019</v>
      </c>
      <c r="S12" s="2716" t="s">
        <v>2020</v>
      </c>
      <c r="T12" s="2677" t="s">
        <v>2021</v>
      </c>
      <c r="U12" s="4756">
        <v>214386753</v>
      </c>
      <c r="V12" s="4664">
        <v>121396000</v>
      </c>
      <c r="W12" s="4664">
        <v>121396000</v>
      </c>
      <c r="X12" s="2678">
        <v>54</v>
      </c>
      <c r="Y12" s="2683" t="s">
        <v>2022</v>
      </c>
      <c r="Z12" s="4732"/>
      <c r="AA12" s="4662"/>
      <c r="AB12" s="2626">
        <v>4164</v>
      </c>
      <c r="AC12" s="2672">
        <v>4164</v>
      </c>
      <c r="AD12" s="2626">
        <v>4491</v>
      </c>
      <c r="AE12" s="2672">
        <v>4491</v>
      </c>
      <c r="AF12" s="2626"/>
      <c r="AG12" s="2672"/>
      <c r="AH12" s="4732"/>
      <c r="AI12" s="4662"/>
      <c r="AJ12" s="4732"/>
      <c r="AK12" s="4662"/>
      <c r="AL12" s="4732"/>
      <c r="AM12" s="4662"/>
      <c r="AN12" s="4732"/>
      <c r="AO12" s="4662"/>
      <c r="AP12" s="4732"/>
      <c r="AQ12" s="4662"/>
      <c r="AR12" s="4732"/>
      <c r="AS12" s="4662"/>
      <c r="AT12" s="4732"/>
      <c r="AU12" s="4662"/>
      <c r="AV12" s="4732"/>
      <c r="AW12" s="4662"/>
      <c r="AX12" s="4726"/>
      <c r="AY12" s="4662"/>
      <c r="AZ12" s="2600">
        <v>23</v>
      </c>
      <c r="BA12" s="4727">
        <v>121396000</v>
      </c>
      <c r="BB12" s="4727">
        <v>121396000</v>
      </c>
      <c r="BC12" s="2600">
        <v>100</v>
      </c>
      <c r="BD12" s="2600" t="s">
        <v>2023</v>
      </c>
      <c r="BE12" s="2605" t="s">
        <v>2024</v>
      </c>
      <c r="BF12" s="4711">
        <v>42598</v>
      </c>
      <c r="BG12" s="4712">
        <v>42499</v>
      </c>
      <c r="BH12" s="4711">
        <v>42735</v>
      </c>
      <c r="BI12" s="4712">
        <v>42735</v>
      </c>
      <c r="BJ12" s="4709" t="s">
        <v>2025</v>
      </c>
    </row>
    <row r="13" spans="1:62" s="684" customFormat="1" ht="6" customHeight="1" x14ac:dyDescent="0.2">
      <c r="A13" s="4651"/>
      <c r="B13" s="4744"/>
      <c r="C13" s="2626"/>
      <c r="D13" s="2626"/>
      <c r="E13" s="4732"/>
      <c r="F13" s="4732"/>
      <c r="G13" s="2683"/>
      <c r="H13" s="2677"/>
      <c r="I13" s="2683"/>
      <c r="J13" s="2683"/>
      <c r="K13" s="2673"/>
      <c r="L13" s="3890"/>
      <c r="M13" s="2683"/>
      <c r="N13" s="4705"/>
      <c r="O13" s="2720"/>
      <c r="P13" s="4684"/>
      <c r="Q13" s="4686"/>
      <c r="R13" s="2716"/>
      <c r="S13" s="2716"/>
      <c r="T13" s="2677"/>
      <c r="U13" s="4756"/>
      <c r="V13" s="4665"/>
      <c r="W13" s="4665"/>
      <c r="X13" s="2678"/>
      <c r="Y13" s="2683"/>
      <c r="Z13" s="4732"/>
      <c r="AA13" s="4725"/>
      <c r="AB13" s="2626"/>
      <c r="AC13" s="2673"/>
      <c r="AD13" s="2626"/>
      <c r="AE13" s="2673"/>
      <c r="AF13" s="2626"/>
      <c r="AG13" s="2673"/>
      <c r="AH13" s="4732"/>
      <c r="AI13" s="4725"/>
      <c r="AJ13" s="4732"/>
      <c r="AK13" s="4725"/>
      <c r="AL13" s="4732"/>
      <c r="AM13" s="4725"/>
      <c r="AN13" s="4732"/>
      <c r="AO13" s="4725"/>
      <c r="AP13" s="4732"/>
      <c r="AQ13" s="4725"/>
      <c r="AR13" s="4732"/>
      <c r="AS13" s="4725"/>
      <c r="AT13" s="4732"/>
      <c r="AU13" s="4725"/>
      <c r="AV13" s="4732"/>
      <c r="AW13" s="4725"/>
      <c r="AX13" s="4726"/>
      <c r="AY13" s="4725"/>
      <c r="AZ13" s="2601"/>
      <c r="BA13" s="4728"/>
      <c r="BB13" s="4728"/>
      <c r="BC13" s="2601"/>
      <c r="BD13" s="2601"/>
      <c r="BE13" s="2987"/>
      <c r="BF13" s="4711"/>
      <c r="BG13" s="4713"/>
      <c r="BH13" s="4711"/>
      <c r="BI13" s="4713"/>
      <c r="BJ13" s="4709"/>
    </row>
    <row r="14" spans="1:62" ht="9.75" customHeight="1" x14ac:dyDescent="0.2">
      <c r="A14" s="4651"/>
      <c r="B14" s="4744"/>
      <c r="C14" s="2626"/>
      <c r="D14" s="2626"/>
      <c r="E14" s="4732"/>
      <c r="F14" s="4732"/>
      <c r="G14" s="2683"/>
      <c r="H14" s="2677"/>
      <c r="I14" s="2683"/>
      <c r="J14" s="2683"/>
      <c r="K14" s="2673"/>
      <c r="L14" s="3890"/>
      <c r="M14" s="2683"/>
      <c r="N14" s="4705"/>
      <c r="O14" s="2720"/>
      <c r="P14" s="4684"/>
      <c r="Q14" s="4686"/>
      <c r="R14" s="2716"/>
      <c r="S14" s="2716"/>
      <c r="T14" s="2677"/>
      <c r="U14" s="4756"/>
      <c r="V14" s="4666"/>
      <c r="W14" s="4666"/>
      <c r="X14" s="2678"/>
      <c r="Y14" s="2683"/>
      <c r="Z14" s="4732"/>
      <c r="AA14" s="4725"/>
      <c r="AB14" s="2626"/>
      <c r="AC14" s="2673"/>
      <c r="AD14" s="2626"/>
      <c r="AE14" s="2673"/>
      <c r="AF14" s="2626"/>
      <c r="AG14" s="2673"/>
      <c r="AH14" s="4732"/>
      <c r="AI14" s="4725"/>
      <c r="AJ14" s="4732"/>
      <c r="AK14" s="4725"/>
      <c r="AL14" s="4732"/>
      <c r="AM14" s="4725"/>
      <c r="AN14" s="4732"/>
      <c r="AO14" s="4725"/>
      <c r="AP14" s="4732"/>
      <c r="AQ14" s="4725"/>
      <c r="AR14" s="4732"/>
      <c r="AS14" s="4725"/>
      <c r="AT14" s="4732"/>
      <c r="AU14" s="4725"/>
      <c r="AV14" s="4732"/>
      <c r="AW14" s="4725"/>
      <c r="AX14" s="4726"/>
      <c r="AY14" s="4725"/>
      <c r="AZ14" s="2601"/>
      <c r="BA14" s="4729"/>
      <c r="BB14" s="4729"/>
      <c r="BC14" s="2601"/>
      <c r="BD14" s="2601"/>
      <c r="BE14" s="2987"/>
      <c r="BF14" s="4711"/>
      <c r="BG14" s="4713"/>
      <c r="BH14" s="4711"/>
      <c r="BI14" s="4713"/>
      <c r="BJ14" s="4709"/>
    </row>
    <row r="15" spans="1:62" ht="33" customHeight="1" x14ac:dyDescent="0.2">
      <c r="A15" s="4651"/>
      <c r="B15" s="4744"/>
      <c r="C15" s="2626"/>
      <c r="D15" s="2626"/>
      <c r="E15" s="4732"/>
      <c r="F15" s="4732"/>
      <c r="G15" s="2683"/>
      <c r="H15" s="2677"/>
      <c r="I15" s="2683"/>
      <c r="J15" s="2683"/>
      <c r="K15" s="2674"/>
      <c r="L15" s="3890"/>
      <c r="M15" s="2683"/>
      <c r="N15" s="4705"/>
      <c r="O15" s="2720"/>
      <c r="P15" s="4685"/>
      <c r="Q15" s="4686"/>
      <c r="R15" s="2716"/>
      <c r="S15" s="2716"/>
      <c r="T15" s="2677"/>
      <c r="U15" s="1809">
        <v>1876800</v>
      </c>
      <c r="V15" s="1810"/>
      <c r="W15" s="1810"/>
      <c r="X15" s="2114">
        <v>20</v>
      </c>
      <c r="Y15" s="2103" t="s">
        <v>637</v>
      </c>
      <c r="Z15" s="4732"/>
      <c r="AA15" s="4725"/>
      <c r="AB15" s="2626"/>
      <c r="AC15" s="2673"/>
      <c r="AD15" s="2626"/>
      <c r="AE15" s="2673"/>
      <c r="AF15" s="2626"/>
      <c r="AG15" s="2673"/>
      <c r="AH15" s="4732"/>
      <c r="AI15" s="4725"/>
      <c r="AJ15" s="4732"/>
      <c r="AK15" s="4725"/>
      <c r="AL15" s="4732"/>
      <c r="AM15" s="4725"/>
      <c r="AN15" s="4732"/>
      <c r="AO15" s="4725"/>
      <c r="AP15" s="4732"/>
      <c r="AQ15" s="4725"/>
      <c r="AR15" s="4732"/>
      <c r="AS15" s="4725"/>
      <c r="AT15" s="4732"/>
      <c r="AU15" s="4725"/>
      <c r="AV15" s="4732"/>
      <c r="AW15" s="4725"/>
      <c r="AX15" s="4726"/>
      <c r="AY15" s="4725"/>
      <c r="AZ15" s="2601"/>
      <c r="BA15" s="1805">
        <f>W15</f>
        <v>0</v>
      </c>
      <c r="BB15" s="1805">
        <f>BA15</f>
        <v>0</v>
      </c>
      <c r="BC15" s="2601"/>
      <c r="BD15" s="2601"/>
      <c r="BE15" s="2987"/>
      <c r="BF15" s="4711"/>
      <c r="BG15" s="4713"/>
      <c r="BH15" s="4711"/>
      <c r="BI15" s="4713"/>
      <c r="BJ15" s="4709"/>
    </row>
    <row r="16" spans="1:62" ht="54.75" customHeight="1" x14ac:dyDescent="0.2">
      <c r="A16" s="4651"/>
      <c r="B16" s="4744"/>
      <c r="C16" s="2626"/>
      <c r="D16" s="2626"/>
      <c r="E16" s="4732"/>
      <c r="F16" s="4732"/>
      <c r="G16" s="2093">
        <v>203</v>
      </c>
      <c r="H16" s="2103" t="s">
        <v>2026</v>
      </c>
      <c r="I16" s="2093" t="s">
        <v>453</v>
      </c>
      <c r="J16" s="2093">
        <v>20</v>
      </c>
      <c r="K16" s="2530">
        <v>20</v>
      </c>
      <c r="L16" s="2415" t="s">
        <v>2027</v>
      </c>
      <c r="M16" s="2683"/>
      <c r="N16" s="4705"/>
      <c r="O16" s="2104">
        <f>P16/Q12</f>
        <v>0.20296739437626629</v>
      </c>
      <c r="P16" s="2551">
        <v>55072339</v>
      </c>
      <c r="Q16" s="4686"/>
      <c r="R16" s="2716"/>
      <c r="S16" s="2110" t="s">
        <v>2028</v>
      </c>
      <c r="T16" s="2103" t="s">
        <v>2029</v>
      </c>
      <c r="U16" s="1811">
        <v>55072339</v>
      </c>
      <c r="V16" s="1812">
        <v>20940000</v>
      </c>
      <c r="W16" s="1812">
        <v>20940000</v>
      </c>
      <c r="X16" s="2114">
        <v>20</v>
      </c>
      <c r="Y16" s="2103" t="s">
        <v>637</v>
      </c>
      <c r="Z16" s="4732"/>
      <c r="AA16" s="4663"/>
      <c r="AB16" s="2626"/>
      <c r="AC16" s="2674"/>
      <c r="AD16" s="2626"/>
      <c r="AE16" s="2674"/>
      <c r="AF16" s="2626"/>
      <c r="AG16" s="2674"/>
      <c r="AH16" s="4732"/>
      <c r="AI16" s="4663"/>
      <c r="AJ16" s="4732"/>
      <c r="AK16" s="4663"/>
      <c r="AL16" s="4732"/>
      <c r="AM16" s="4663"/>
      <c r="AN16" s="4732"/>
      <c r="AO16" s="4663"/>
      <c r="AP16" s="4732"/>
      <c r="AQ16" s="4663"/>
      <c r="AR16" s="4732"/>
      <c r="AS16" s="4663"/>
      <c r="AT16" s="4732"/>
      <c r="AU16" s="4663"/>
      <c r="AV16" s="4732"/>
      <c r="AW16" s="4663"/>
      <c r="AX16" s="4726"/>
      <c r="AY16" s="4663"/>
      <c r="AZ16" s="2636"/>
      <c r="BA16" s="1805">
        <f t="shared" ref="BA16:BA21" si="0">W16</f>
        <v>20940000</v>
      </c>
      <c r="BB16" s="1805">
        <f t="shared" ref="BB16:BB21" si="1">BA16</f>
        <v>20940000</v>
      </c>
      <c r="BC16" s="2636"/>
      <c r="BD16" s="2636"/>
      <c r="BE16" s="2988"/>
      <c r="BF16" s="4711"/>
      <c r="BG16" s="4714"/>
      <c r="BH16" s="4711"/>
      <c r="BI16" s="4714"/>
      <c r="BJ16" s="4709"/>
    </row>
    <row r="17" spans="1:62" ht="43.5" customHeight="1" x14ac:dyDescent="0.2">
      <c r="A17" s="4651"/>
      <c r="B17" s="4744"/>
      <c r="C17" s="2626"/>
      <c r="D17" s="2626"/>
      <c r="E17" s="4732"/>
      <c r="F17" s="4732"/>
      <c r="G17" s="2626">
        <v>203</v>
      </c>
      <c r="H17" s="2604" t="s">
        <v>2026</v>
      </c>
      <c r="I17" s="2626" t="s">
        <v>453</v>
      </c>
      <c r="J17" s="2626">
        <v>20</v>
      </c>
      <c r="K17" s="2672">
        <v>20</v>
      </c>
      <c r="L17" s="2093" t="s">
        <v>2030</v>
      </c>
      <c r="M17" s="2626">
        <v>167</v>
      </c>
      <c r="N17" s="4705" t="s">
        <v>2031</v>
      </c>
      <c r="O17" s="3448">
        <v>1</v>
      </c>
      <c r="P17" s="4730">
        <v>81450000</v>
      </c>
      <c r="Q17" s="4706">
        <f>P17</f>
        <v>81450000</v>
      </c>
      <c r="R17" s="2604" t="s">
        <v>2032</v>
      </c>
      <c r="S17" s="2604" t="s">
        <v>2033</v>
      </c>
      <c r="T17" s="2604" t="s">
        <v>2026</v>
      </c>
      <c r="U17" s="1813">
        <v>3450000</v>
      </c>
      <c r="V17" s="1814">
        <v>3450000</v>
      </c>
      <c r="W17" s="1814">
        <v>3450000</v>
      </c>
      <c r="X17" s="2290">
        <v>54</v>
      </c>
      <c r="Y17" s="2129" t="s">
        <v>2022</v>
      </c>
      <c r="Z17" s="4732"/>
      <c r="AA17" s="4662"/>
      <c r="AB17" s="2600">
        <v>4164</v>
      </c>
      <c r="AC17" s="2672">
        <v>4164</v>
      </c>
      <c r="AD17" s="2600">
        <v>4491</v>
      </c>
      <c r="AE17" s="2672">
        <v>4491</v>
      </c>
      <c r="AF17" s="2600"/>
      <c r="AG17" s="2672"/>
      <c r="AH17" s="4696"/>
      <c r="AI17" s="4693"/>
      <c r="AJ17" s="4696"/>
      <c r="AK17" s="4693"/>
      <c r="AL17" s="4696"/>
      <c r="AM17" s="4693"/>
      <c r="AN17" s="4696"/>
      <c r="AO17" s="4693"/>
      <c r="AP17" s="4696"/>
      <c r="AQ17" s="4693"/>
      <c r="AR17" s="4696"/>
      <c r="AS17" s="4693"/>
      <c r="AT17" s="4696"/>
      <c r="AU17" s="4693"/>
      <c r="AV17" s="4696"/>
      <c r="AW17" s="4693"/>
      <c r="AX17" s="4696"/>
      <c r="AY17" s="4693"/>
      <c r="AZ17" s="2602">
        <v>20</v>
      </c>
      <c r="BA17" s="1805">
        <f t="shared" si="0"/>
        <v>3450000</v>
      </c>
      <c r="BB17" s="1805">
        <f t="shared" si="1"/>
        <v>3450000</v>
      </c>
      <c r="BC17" s="2600">
        <v>100</v>
      </c>
      <c r="BD17" s="2600" t="s">
        <v>2034</v>
      </c>
      <c r="BE17" s="2605"/>
      <c r="BF17" s="4711">
        <v>42370</v>
      </c>
      <c r="BG17" s="4712">
        <v>42439</v>
      </c>
      <c r="BH17" s="4711">
        <v>42735</v>
      </c>
      <c r="BI17" s="4712">
        <v>42735</v>
      </c>
      <c r="BJ17" s="4709" t="s">
        <v>2025</v>
      </c>
    </row>
    <row r="18" spans="1:62" ht="77.25" customHeight="1" x14ac:dyDescent="0.2">
      <c r="A18" s="4651"/>
      <c r="B18" s="4744"/>
      <c r="C18" s="2626"/>
      <c r="D18" s="2626"/>
      <c r="E18" s="4732"/>
      <c r="F18" s="4732"/>
      <c r="G18" s="2626"/>
      <c r="H18" s="2604"/>
      <c r="I18" s="2626"/>
      <c r="J18" s="2626"/>
      <c r="K18" s="2674"/>
      <c r="L18" s="2093" t="s">
        <v>2035</v>
      </c>
      <c r="M18" s="2626"/>
      <c r="N18" s="4705"/>
      <c r="O18" s="3448"/>
      <c r="P18" s="4731"/>
      <c r="Q18" s="4706"/>
      <c r="R18" s="2604"/>
      <c r="S18" s="2604"/>
      <c r="T18" s="2604"/>
      <c r="U18" s="2414">
        <v>78000000</v>
      </c>
      <c r="V18" s="1810">
        <v>78000000</v>
      </c>
      <c r="W18" s="1810">
        <v>78000000</v>
      </c>
      <c r="X18" s="2290">
        <v>20</v>
      </c>
      <c r="Y18" s="2129" t="s">
        <v>637</v>
      </c>
      <c r="Z18" s="4732"/>
      <c r="AA18" s="4663"/>
      <c r="AB18" s="2636"/>
      <c r="AC18" s="2674"/>
      <c r="AD18" s="2636"/>
      <c r="AE18" s="2674"/>
      <c r="AF18" s="2636"/>
      <c r="AG18" s="2674"/>
      <c r="AH18" s="4696"/>
      <c r="AI18" s="4695"/>
      <c r="AJ18" s="4696"/>
      <c r="AK18" s="4695"/>
      <c r="AL18" s="4696"/>
      <c r="AM18" s="4695"/>
      <c r="AN18" s="4696"/>
      <c r="AO18" s="4695"/>
      <c r="AP18" s="4696"/>
      <c r="AQ18" s="4695"/>
      <c r="AR18" s="4696"/>
      <c r="AS18" s="4695"/>
      <c r="AT18" s="4696"/>
      <c r="AU18" s="4695"/>
      <c r="AV18" s="4696"/>
      <c r="AW18" s="4695"/>
      <c r="AX18" s="4696"/>
      <c r="AY18" s="4695"/>
      <c r="AZ18" s="3435"/>
      <c r="BA18" s="1805">
        <f t="shared" si="0"/>
        <v>78000000</v>
      </c>
      <c r="BB18" s="1805">
        <f t="shared" si="1"/>
        <v>78000000</v>
      </c>
      <c r="BC18" s="2636"/>
      <c r="BD18" s="2636"/>
      <c r="BE18" s="2988"/>
      <c r="BF18" s="4711"/>
      <c r="BG18" s="4714"/>
      <c r="BH18" s="4711"/>
      <c r="BI18" s="4714"/>
      <c r="BJ18" s="2626"/>
    </row>
    <row r="19" spans="1:62" ht="29.25" customHeight="1" x14ac:dyDescent="0.2">
      <c r="A19" s="4651"/>
      <c r="B19" s="4744"/>
      <c r="C19" s="2626"/>
      <c r="D19" s="2626"/>
      <c r="E19" s="4732"/>
      <c r="F19" s="4732"/>
      <c r="G19" s="2626">
        <v>202</v>
      </c>
      <c r="H19" s="2604" t="s">
        <v>2016</v>
      </c>
      <c r="I19" s="2626" t="s">
        <v>453</v>
      </c>
      <c r="J19" s="2626">
        <v>23</v>
      </c>
      <c r="K19" s="2672">
        <v>23</v>
      </c>
      <c r="L19" s="2093" t="s">
        <v>2030</v>
      </c>
      <c r="M19" s="2626">
        <v>168</v>
      </c>
      <c r="N19" s="4705" t="s">
        <v>2036</v>
      </c>
      <c r="O19" s="3448">
        <v>1</v>
      </c>
      <c r="P19" s="4706">
        <v>183411612</v>
      </c>
      <c r="Q19" s="4706">
        <v>183411612</v>
      </c>
      <c r="R19" s="2604"/>
      <c r="S19" s="2604"/>
      <c r="T19" s="2604" t="s">
        <v>2016</v>
      </c>
      <c r="U19" s="1727">
        <v>80206279</v>
      </c>
      <c r="V19" s="1815">
        <v>79109584</v>
      </c>
      <c r="W19" s="1815">
        <v>79109584</v>
      </c>
      <c r="X19" s="2290">
        <v>54</v>
      </c>
      <c r="Y19" s="2129" t="s">
        <v>2022</v>
      </c>
      <c r="Z19" s="4724" t="s">
        <v>197</v>
      </c>
      <c r="AA19" s="4693"/>
      <c r="AB19" s="2600">
        <v>4164</v>
      </c>
      <c r="AC19" s="2672">
        <v>4164</v>
      </c>
      <c r="AD19" s="2600">
        <v>4491</v>
      </c>
      <c r="AE19" s="2672">
        <v>4491</v>
      </c>
      <c r="AF19" s="2600"/>
      <c r="AG19" s="2672"/>
      <c r="AH19" s="4696"/>
      <c r="AI19" s="4693"/>
      <c r="AJ19" s="4696"/>
      <c r="AK19" s="4693"/>
      <c r="AL19" s="4696"/>
      <c r="AM19" s="4693"/>
      <c r="AN19" s="4696"/>
      <c r="AO19" s="4693"/>
      <c r="AP19" s="4696"/>
      <c r="AQ19" s="4693"/>
      <c r="AR19" s="4696"/>
      <c r="AS19" s="4693"/>
      <c r="AT19" s="4696"/>
      <c r="AU19" s="4693"/>
      <c r="AV19" s="4696"/>
      <c r="AW19" s="4693"/>
      <c r="AX19" s="4696"/>
      <c r="AY19" s="4693"/>
      <c r="AZ19" s="2137">
        <v>23</v>
      </c>
      <c r="BA19" s="1805">
        <f t="shared" si="0"/>
        <v>79109584</v>
      </c>
      <c r="BB19" s="1805">
        <f t="shared" si="1"/>
        <v>79109584</v>
      </c>
      <c r="BC19" s="2600">
        <v>100</v>
      </c>
      <c r="BD19" s="2137" t="s">
        <v>2022</v>
      </c>
      <c r="BE19" s="2605" t="s">
        <v>2024</v>
      </c>
      <c r="BF19" s="4711">
        <v>42370</v>
      </c>
      <c r="BG19" s="4712">
        <v>42439</v>
      </c>
      <c r="BH19" s="4711">
        <v>42735</v>
      </c>
      <c r="BI19" s="4712">
        <v>42735</v>
      </c>
      <c r="BJ19" s="4709" t="s">
        <v>2025</v>
      </c>
    </row>
    <row r="20" spans="1:62" ht="30" customHeight="1" x14ac:dyDescent="0.2">
      <c r="A20" s="4651"/>
      <c r="B20" s="4744"/>
      <c r="C20" s="2626"/>
      <c r="D20" s="2626"/>
      <c r="E20" s="4732"/>
      <c r="F20" s="4732"/>
      <c r="G20" s="2626"/>
      <c r="H20" s="2604"/>
      <c r="I20" s="2626"/>
      <c r="J20" s="2626"/>
      <c r="K20" s="2674"/>
      <c r="L20" s="2093" t="s">
        <v>2035</v>
      </c>
      <c r="M20" s="2626"/>
      <c r="N20" s="4705"/>
      <c r="O20" s="3448"/>
      <c r="P20" s="4706"/>
      <c r="Q20" s="4706"/>
      <c r="R20" s="2604"/>
      <c r="S20" s="2604"/>
      <c r="T20" s="2604"/>
      <c r="U20" s="1805">
        <v>103205333</v>
      </c>
      <c r="V20" s="1815">
        <v>97746333</v>
      </c>
      <c r="W20" s="1815">
        <v>97746333</v>
      </c>
      <c r="X20" s="2290">
        <v>20</v>
      </c>
      <c r="Y20" s="2129" t="s">
        <v>637</v>
      </c>
      <c r="Z20" s="4696"/>
      <c r="AA20" s="4695"/>
      <c r="AB20" s="2636"/>
      <c r="AC20" s="2674"/>
      <c r="AD20" s="2636"/>
      <c r="AE20" s="2674"/>
      <c r="AF20" s="2636"/>
      <c r="AG20" s="2674"/>
      <c r="AH20" s="4696"/>
      <c r="AI20" s="4695"/>
      <c r="AJ20" s="4696"/>
      <c r="AK20" s="4695"/>
      <c r="AL20" s="4696"/>
      <c r="AM20" s="4695"/>
      <c r="AN20" s="4696"/>
      <c r="AO20" s="4695"/>
      <c r="AP20" s="4696"/>
      <c r="AQ20" s="4695"/>
      <c r="AR20" s="4696"/>
      <c r="AS20" s="4695"/>
      <c r="AT20" s="4696"/>
      <c r="AU20" s="4695"/>
      <c r="AV20" s="4696"/>
      <c r="AW20" s="4695"/>
      <c r="AX20" s="4696"/>
      <c r="AY20" s="4695"/>
      <c r="AZ20" s="2099">
        <v>23</v>
      </c>
      <c r="BA20" s="1805">
        <f t="shared" si="0"/>
        <v>97746333</v>
      </c>
      <c r="BB20" s="1805">
        <f t="shared" si="1"/>
        <v>97746333</v>
      </c>
      <c r="BC20" s="2636"/>
      <c r="BD20" s="2099" t="s">
        <v>130</v>
      </c>
      <c r="BE20" s="2988"/>
      <c r="BF20" s="4711"/>
      <c r="BG20" s="4714"/>
      <c r="BH20" s="4711"/>
      <c r="BI20" s="4714"/>
      <c r="BJ20" s="2626"/>
    </row>
    <row r="21" spans="1:62" ht="57.75" customHeight="1" x14ac:dyDescent="0.2">
      <c r="A21" s="4651"/>
      <c r="B21" s="4744"/>
      <c r="C21" s="2626"/>
      <c r="D21" s="2626"/>
      <c r="E21" s="4732"/>
      <c r="F21" s="4732"/>
      <c r="G21" s="2137">
        <v>202</v>
      </c>
      <c r="H21" s="2129" t="s">
        <v>2016</v>
      </c>
      <c r="I21" s="2137" t="s">
        <v>453</v>
      </c>
      <c r="J21" s="2137">
        <v>23</v>
      </c>
      <c r="K21" s="2530">
        <v>23</v>
      </c>
      <c r="L21" s="2093" t="s">
        <v>2037</v>
      </c>
      <c r="M21" s="2137">
        <v>173</v>
      </c>
      <c r="N21" s="2532" t="s">
        <v>2038</v>
      </c>
      <c r="O21" s="2299">
        <v>1</v>
      </c>
      <c r="P21" s="2538">
        <v>13500000</v>
      </c>
      <c r="Q21" s="2538">
        <f>P21</f>
        <v>13500000</v>
      </c>
      <c r="R21" s="2604"/>
      <c r="S21" s="1589" t="s">
        <v>2039</v>
      </c>
      <c r="T21" s="2129" t="s">
        <v>2016</v>
      </c>
      <c r="U21" s="2551">
        <v>13500000</v>
      </c>
      <c r="V21" s="1808">
        <v>13500000</v>
      </c>
      <c r="W21" s="1808">
        <v>13500000</v>
      </c>
      <c r="X21" s="2290">
        <v>54</v>
      </c>
      <c r="Y21" s="2129" t="s">
        <v>2040</v>
      </c>
      <c r="Z21" s="2548"/>
      <c r="AA21" s="1610"/>
      <c r="AB21" s="2137">
        <v>4164</v>
      </c>
      <c r="AC21" s="2530">
        <v>4164</v>
      </c>
      <c r="AD21" s="2137">
        <v>4491</v>
      </c>
      <c r="AE21" s="2530">
        <v>4491</v>
      </c>
      <c r="AF21" s="2137"/>
      <c r="AG21" s="2530"/>
      <c r="AH21" s="2548"/>
      <c r="AI21" s="1610"/>
      <c r="AJ21" s="2548"/>
      <c r="AK21" s="1610"/>
      <c r="AL21" s="2548"/>
      <c r="AM21" s="1610"/>
      <c r="AN21" s="2548"/>
      <c r="AO21" s="1610"/>
      <c r="AP21" s="2548"/>
      <c r="AQ21" s="1610"/>
      <c r="AR21" s="2548"/>
      <c r="AS21" s="1610"/>
      <c r="AT21" s="2548"/>
      <c r="AU21" s="1610"/>
      <c r="AV21" s="2548"/>
      <c r="AW21" s="1610"/>
      <c r="AX21" s="2548"/>
      <c r="AY21" s="1610"/>
      <c r="AZ21" s="2137">
        <v>23</v>
      </c>
      <c r="BA21" s="1805">
        <f t="shared" si="0"/>
        <v>13500000</v>
      </c>
      <c r="BB21" s="1805">
        <f t="shared" si="1"/>
        <v>13500000</v>
      </c>
      <c r="BC21" s="2552">
        <f>BB21/BA21*100</f>
        <v>100</v>
      </c>
      <c r="BD21" s="2552" t="s">
        <v>2022</v>
      </c>
      <c r="BE21" s="2129" t="s">
        <v>2024</v>
      </c>
      <c r="BF21" s="2535">
        <v>42370</v>
      </c>
      <c r="BG21" s="1613">
        <v>42439</v>
      </c>
      <c r="BH21" s="2535">
        <v>42582</v>
      </c>
      <c r="BI21" s="1613">
        <v>42560</v>
      </c>
      <c r="BJ21" s="2536" t="s">
        <v>2025</v>
      </c>
    </row>
    <row r="22" spans="1:62" ht="15" x14ac:dyDescent="0.2">
      <c r="A22" s="4651"/>
      <c r="B22" s="4744"/>
      <c r="C22" s="2626"/>
      <c r="D22" s="2626"/>
      <c r="E22" s="212">
        <v>68</v>
      </c>
      <c r="F22" s="50" t="s">
        <v>2041</v>
      </c>
      <c r="G22" s="50"/>
      <c r="H22" s="50"/>
      <c r="I22" s="50"/>
      <c r="J22" s="50"/>
      <c r="K22" s="50"/>
      <c r="L22" s="50"/>
      <c r="M22" s="50"/>
      <c r="N22" s="50"/>
      <c r="O22" s="50"/>
      <c r="P22" s="1493"/>
      <c r="Q22" s="1493"/>
      <c r="R22" s="50"/>
      <c r="S22" s="50"/>
      <c r="T22" s="50" t="s">
        <v>197</v>
      </c>
      <c r="U22" s="1493"/>
      <c r="V22" s="1493"/>
      <c r="W22" s="1493"/>
      <c r="X22" s="2520"/>
      <c r="Y22" s="50"/>
      <c r="Z22" s="50"/>
      <c r="AA22" s="411"/>
      <c r="AB22" s="50"/>
      <c r="AC22" s="411"/>
      <c r="AD22" s="50"/>
      <c r="AE22" s="411"/>
      <c r="AF22" s="50"/>
      <c r="AG22" s="411"/>
      <c r="AH22" s="50"/>
      <c r="AI22" s="411"/>
      <c r="AJ22" s="50"/>
      <c r="AK22" s="411"/>
      <c r="AL22" s="50"/>
      <c r="AM22" s="411"/>
      <c r="AN22" s="50"/>
      <c r="AO22" s="411"/>
      <c r="AP22" s="50"/>
      <c r="AQ22" s="411"/>
      <c r="AR22" s="50"/>
      <c r="AS22" s="411"/>
      <c r="AT22" s="50"/>
      <c r="AU22" s="411"/>
      <c r="AV22" s="50"/>
      <c r="AW22" s="411"/>
      <c r="AX22" s="50"/>
      <c r="AY22" s="411"/>
      <c r="AZ22" s="2520"/>
      <c r="BA22" s="1493" t="s">
        <v>197</v>
      </c>
      <c r="BB22" s="1493" t="s">
        <v>197</v>
      </c>
      <c r="BC22" s="2520"/>
      <c r="BD22" s="2520" t="s">
        <v>197</v>
      </c>
      <c r="BE22" s="412" t="s">
        <v>197</v>
      </c>
      <c r="BF22" s="2520"/>
      <c r="BG22" s="643"/>
      <c r="BH22" s="2520"/>
      <c r="BI22" s="643"/>
      <c r="BJ22" s="50"/>
    </row>
    <row r="23" spans="1:62" ht="59.25" customHeight="1" x14ac:dyDescent="0.2">
      <c r="A23" s="4651"/>
      <c r="B23" s="4744"/>
      <c r="C23" s="2626"/>
      <c r="D23" s="2626"/>
      <c r="E23" s="2626"/>
      <c r="F23" s="2626"/>
      <c r="G23" s="2137">
        <v>204</v>
      </c>
      <c r="H23" s="2129" t="s">
        <v>2042</v>
      </c>
      <c r="I23" s="2137" t="s">
        <v>453</v>
      </c>
      <c r="J23" s="2137">
        <v>13</v>
      </c>
      <c r="K23" s="2530">
        <v>13</v>
      </c>
      <c r="L23" s="2137" t="s">
        <v>2043</v>
      </c>
      <c r="M23" s="2137">
        <v>161</v>
      </c>
      <c r="N23" s="2129" t="s">
        <v>2018</v>
      </c>
      <c r="O23" s="2299">
        <v>1</v>
      </c>
      <c r="P23" s="2538">
        <v>30000000</v>
      </c>
      <c r="Q23" s="2538">
        <f>P23</f>
        <v>30000000</v>
      </c>
      <c r="R23" s="2129" t="s">
        <v>2044</v>
      </c>
      <c r="S23" s="2129" t="s">
        <v>2045</v>
      </c>
      <c r="T23" s="2129" t="s">
        <v>2042</v>
      </c>
      <c r="U23" s="2545">
        <v>30000000</v>
      </c>
      <c r="V23" s="2432">
        <v>8000000</v>
      </c>
      <c r="W23" s="2432">
        <v>8000000</v>
      </c>
      <c r="X23" s="2290">
        <v>20</v>
      </c>
      <c r="Y23" s="2543" t="s">
        <v>637</v>
      </c>
      <c r="Z23" s="2548"/>
      <c r="AA23" s="1610"/>
      <c r="AB23" s="2137">
        <v>4164</v>
      </c>
      <c r="AC23" s="2530">
        <v>4164</v>
      </c>
      <c r="AD23" s="2137">
        <v>4491</v>
      </c>
      <c r="AE23" s="2530">
        <v>4491</v>
      </c>
      <c r="AF23" s="2137"/>
      <c r="AG23" s="2530"/>
      <c r="AH23" s="2548"/>
      <c r="AI23" s="1610"/>
      <c r="AJ23" s="2548"/>
      <c r="AK23" s="1610"/>
      <c r="AL23" s="2548"/>
      <c r="AM23" s="1610"/>
      <c r="AN23" s="2548"/>
      <c r="AO23" s="1610"/>
      <c r="AP23" s="2548"/>
      <c r="AQ23" s="1610"/>
      <c r="AR23" s="2548"/>
      <c r="AS23" s="1610"/>
      <c r="AT23" s="2548"/>
      <c r="AU23" s="1610"/>
      <c r="AV23" s="2548"/>
      <c r="AW23" s="1610"/>
      <c r="AX23" s="2548"/>
      <c r="AY23" s="1610"/>
      <c r="AZ23" s="2137">
        <v>13</v>
      </c>
      <c r="BA23" s="1805">
        <v>8000000</v>
      </c>
      <c r="BB23" s="1805">
        <v>8000000</v>
      </c>
      <c r="BC23" s="2137">
        <f>BB23/BA23*100</f>
        <v>100</v>
      </c>
      <c r="BD23" s="2137" t="s">
        <v>130</v>
      </c>
      <c r="BE23" s="2129" t="s">
        <v>2024</v>
      </c>
      <c r="BF23" s="2535">
        <v>42370</v>
      </c>
      <c r="BG23" s="1613">
        <v>42439</v>
      </c>
      <c r="BH23" s="2535">
        <v>42735</v>
      </c>
      <c r="BI23" s="1613">
        <v>42735</v>
      </c>
      <c r="BJ23" s="2536" t="s">
        <v>2046</v>
      </c>
    </row>
    <row r="24" spans="1:62" ht="15" x14ac:dyDescent="0.2">
      <c r="A24" s="4651"/>
      <c r="B24" s="4744"/>
      <c r="C24" s="2626"/>
      <c r="D24" s="2626"/>
      <c r="E24" s="212">
        <v>70</v>
      </c>
      <c r="F24" s="50" t="s">
        <v>2047</v>
      </c>
      <c r="G24" s="50"/>
      <c r="H24" s="50"/>
      <c r="I24" s="50"/>
      <c r="J24" s="50"/>
      <c r="K24" s="50"/>
      <c r="L24" s="50"/>
      <c r="M24" s="50"/>
      <c r="N24" s="50"/>
      <c r="O24" s="50"/>
      <c r="P24" s="1493"/>
      <c r="Q24" s="1493"/>
      <c r="R24" s="50"/>
      <c r="S24" s="50"/>
      <c r="T24" s="50"/>
      <c r="U24" s="1493"/>
      <c r="V24" s="1493"/>
      <c r="W24" s="1493"/>
      <c r="X24" s="2520"/>
      <c r="Y24" s="50"/>
      <c r="Z24" s="50"/>
      <c r="AA24" s="411"/>
      <c r="AB24" s="50"/>
      <c r="AC24" s="411"/>
      <c r="AD24" s="50"/>
      <c r="AE24" s="411"/>
      <c r="AF24" s="50"/>
      <c r="AG24" s="411"/>
      <c r="AH24" s="50"/>
      <c r="AI24" s="411"/>
      <c r="AJ24" s="50"/>
      <c r="AK24" s="411"/>
      <c r="AL24" s="50"/>
      <c r="AM24" s="411"/>
      <c r="AN24" s="50"/>
      <c r="AO24" s="411"/>
      <c r="AP24" s="50"/>
      <c r="AQ24" s="411"/>
      <c r="AR24" s="50"/>
      <c r="AS24" s="411"/>
      <c r="AT24" s="50"/>
      <c r="AU24" s="411"/>
      <c r="AV24" s="50"/>
      <c r="AW24" s="411"/>
      <c r="AX24" s="50"/>
      <c r="AY24" s="411"/>
      <c r="AZ24" s="2520"/>
      <c r="BA24" s="1493"/>
      <c r="BB24" s="1493"/>
      <c r="BC24" s="2520"/>
      <c r="BD24" s="2520"/>
      <c r="BE24" s="412"/>
      <c r="BF24" s="2520"/>
      <c r="BG24" s="643"/>
      <c r="BH24" s="2520"/>
      <c r="BI24" s="643"/>
      <c r="BJ24" s="50"/>
    </row>
    <row r="25" spans="1:62" ht="27.75" customHeight="1" x14ac:dyDescent="0.2">
      <c r="A25" s="4651"/>
      <c r="B25" s="4744"/>
      <c r="C25" s="2626"/>
      <c r="D25" s="2626"/>
      <c r="E25" s="3422"/>
      <c r="F25" s="2982"/>
      <c r="G25" s="2600">
        <v>205</v>
      </c>
      <c r="H25" s="2600" t="s">
        <v>2048</v>
      </c>
      <c r="I25" s="2600" t="s">
        <v>453</v>
      </c>
      <c r="J25" s="2600">
        <v>1</v>
      </c>
      <c r="K25" s="2672">
        <v>1</v>
      </c>
      <c r="L25" s="2093" t="s">
        <v>2030</v>
      </c>
      <c r="M25" s="2626">
        <v>162</v>
      </c>
      <c r="N25" s="3413" t="s">
        <v>2049</v>
      </c>
      <c r="O25" s="3448">
        <v>1</v>
      </c>
      <c r="P25" s="4681">
        <v>45866652.640000001</v>
      </c>
      <c r="Q25" s="4681">
        <v>45866652.640000001</v>
      </c>
      <c r="R25" s="4697" t="s">
        <v>2050</v>
      </c>
      <c r="S25" s="4699" t="s">
        <v>2051</v>
      </c>
      <c r="T25" s="4720" t="s">
        <v>2052</v>
      </c>
      <c r="U25" s="2538">
        <v>3989853</v>
      </c>
      <c r="V25" s="1808" t="s">
        <v>197</v>
      </c>
      <c r="W25" s="1808" t="s">
        <v>197</v>
      </c>
      <c r="X25" s="2290">
        <v>54</v>
      </c>
      <c r="Y25" s="2129" t="s">
        <v>2022</v>
      </c>
      <c r="Z25" s="4722"/>
      <c r="AA25" s="4723"/>
      <c r="AB25" s="2626">
        <v>4164</v>
      </c>
      <c r="AC25" s="2672">
        <v>6300</v>
      </c>
      <c r="AD25" s="3891">
        <v>4491</v>
      </c>
      <c r="AE25" s="4670">
        <v>2422</v>
      </c>
      <c r="AF25" s="4670"/>
      <c r="AG25" s="4670"/>
      <c r="AH25" s="4670"/>
      <c r="AI25" s="4670"/>
      <c r="AJ25" s="4670"/>
      <c r="AK25" s="4670"/>
      <c r="AL25" s="4670"/>
      <c r="AM25" s="4670"/>
      <c r="AN25" s="4670"/>
      <c r="AO25" s="4670"/>
      <c r="AP25" s="4670"/>
      <c r="AQ25" s="4670"/>
      <c r="AR25" s="4670"/>
      <c r="AS25" s="4670"/>
      <c r="AT25" s="4670"/>
      <c r="AU25" s="4670"/>
      <c r="AV25" s="4670"/>
      <c r="AW25" s="4670"/>
      <c r="AX25" s="4670"/>
      <c r="AY25" s="4670"/>
      <c r="AZ25" s="2683"/>
      <c r="BA25" s="4681">
        <f>W26</f>
        <v>37053553</v>
      </c>
      <c r="BB25" s="2078">
        <v>0</v>
      </c>
      <c r="BC25" s="2620">
        <f>+W26/(U25+U26)</f>
        <v>0.8078538671657598</v>
      </c>
      <c r="BD25" s="4681" t="s">
        <v>2022</v>
      </c>
      <c r="BE25" s="4758"/>
      <c r="BF25" s="4715">
        <v>42370</v>
      </c>
      <c r="BG25" s="4712">
        <v>42422</v>
      </c>
      <c r="BH25" s="4715">
        <v>42735</v>
      </c>
      <c r="BI25" s="4712">
        <v>42726</v>
      </c>
      <c r="BJ25" s="4681" t="s">
        <v>2025</v>
      </c>
    </row>
    <row r="26" spans="1:62" ht="27.75" customHeight="1" x14ac:dyDescent="0.2">
      <c r="A26" s="4651"/>
      <c r="B26" s="4744"/>
      <c r="C26" s="2626"/>
      <c r="D26" s="2626"/>
      <c r="E26" s="3423"/>
      <c r="F26" s="2983"/>
      <c r="G26" s="2601"/>
      <c r="H26" s="2601"/>
      <c r="I26" s="2601"/>
      <c r="J26" s="2601"/>
      <c r="K26" s="2673"/>
      <c r="L26" s="1590" t="s">
        <v>2053</v>
      </c>
      <c r="M26" s="2626"/>
      <c r="N26" s="3416"/>
      <c r="O26" s="3448"/>
      <c r="P26" s="4682"/>
      <c r="Q26" s="4682"/>
      <c r="R26" s="4698"/>
      <c r="S26" s="4700"/>
      <c r="T26" s="4721"/>
      <c r="U26" s="2538">
        <v>41876800</v>
      </c>
      <c r="V26" s="1808">
        <v>37053553</v>
      </c>
      <c r="W26" s="1808">
        <v>37053553</v>
      </c>
      <c r="X26" s="2290">
        <v>20</v>
      </c>
      <c r="Y26" s="2543" t="s">
        <v>637</v>
      </c>
      <c r="Z26" s="4722"/>
      <c r="AA26" s="4723"/>
      <c r="AB26" s="2626"/>
      <c r="AC26" s="2674"/>
      <c r="AD26" s="4224"/>
      <c r="AE26" s="4670"/>
      <c r="AF26" s="4670"/>
      <c r="AG26" s="4670"/>
      <c r="AH26" s="4670"/>
      <c r="AI26" s="4670"/>
      <c r="AJ26" s="4670"/>
      <c r="AK26" s="4670"/>
      <c r="AL26" s="4670"/>
      <c r="AM26" s="4670"/>
      <c r="AN26" s="4670"/>
      <c r="AO26" s="4670"/>
      <c r="AP26" s="4670"/>
      <c r="AQ26" s="4670"/>
      <c r="AR26" s="4670"/>
      <c r="AS26" s="4670"/>
      <c r="AT26" s="4670"/>
      <c r="AU26" s="4670"/>
      <c r="AV26" s="4670"/>
      <c r="AW26" s="4670"/>
      <c r="AX26" s="4670"/>
      <c r="AY26" s="4670"/>
      <c r="AZ26" s="2683"/>
      <c r="BA26" s="4757"/>
      <c r="BB26" s="1806">
        <f>BA25</f>
        <v>37053553</v>
      </c>
      <c r="BC26" s="2967">
        <v>100</v>
      </c>
      <c r="BD26" s="4757"/>
      <c r="BE26" s="4759"/>
      <c r="BF26" s="4717"/>
      <c r="BG26" s="4714">
        <v>42422</v>
      </c>
      <c r="BH26" s="4717">
        <v>42735</v>
      </c>
      <c r="BI26" s="4714">
        <v>42726</v>
      </c>
      <c r="BJ26" s="4757"/>
    </row>
    <row r="27" spans="1:62" ht="90.75" customHeight="1" x14ac:dyDescent="0.2">
      <c r="A27" s="4651"/>
      <c r="B27" s="4744"/>
      <c r="C27" s="2626"/>
      <c r="D27" s="2626"/>
      <c r="E27" s="2437"/>
      <c r="F27" s="2192"/>
      <c r="G27" s="2636"/>
      <c r="H27" s="2636"/>
      <c r="I27" s="2636"/>
      <c r="J27" s="2636"/>
      <c r="K27" s="2674"/>
      <c r="L27" s="2093" t="s">
        <v>2054</v>
      </c>
      <c r="M27" s="2093">
        <v>170</v>
      </c>
      <c r="N27" s="2129" t="s">
        <v>2055</v>
      </c>
      <c r="O27" s="2104">
        <v>1</v>
      </c>
      <c r="P27" s="2551">
        <v>114315715</v>
      </c>
      <c r="Q27" s="2551">
        <f>P27</f>
        <v>114315715</v>
      </c>
      <c r="R27" s="1594" t="s">
        <v>2056</v>
      </c>
      <c r="S27" s="1595" t="s">
        <v>2057</v>
      </c>
      <c r="T27" s="2103" t="s">
        <v>2058</v>
      </c>
      <c r="U27" s="2453">
        <v>114315715</v>
      </c>
      <c r="V27" s="1808">
        <v>113261582</v>
      </c>
      <c r="W27" s="1808">
        <v>113261582</v>
      </c>
      <c r="X27" s="2114">
        <v>54</v>
      </c>
      <c r="Y27" s="2093" t="s">
        <v>2022</v>
      </c>
      <c r="Z27" s="2093">
        <v>3525</v>
      </c>
      <c r="AA27" s="2530"/>
      <c r="AB27" s="2093">
        <v>17139</v>
      </c>
      <c r="AC27" s="2530">
        <v>6270</v>
      </c>
      <c r="AD27" s="2093"/>
      <c r="AE27" s="2530">
        <v>2452</v>
      </c>
      <c r="AF27" s="1596"/>
      <c r="AG27" s="1610"/>
      <c r="AH27" s="1596"/>
      <c r="AI27" s="1610"/>
      <c r="AJ27" s="1596"/>
      <c r="AK27" s="1610"/>
      <c r="AL27" s="1596"/>
      <c r="AM27" s="1610"/>
      <c r="AN27" s="1596"/>
      <c r="AO27" s="1610"/>
      <c r="AP27" s="1596"/>
      <c r="AQ27" s="1610"/>
      <c r="AR27" s="1596"/>
      <c r="AS27" s="1610"/>
      <c r="AT27" s="1596"/>
      <c r="AU27" s="1610"/>
      <c r="AV27" s="1596"/>
      <c r="AW27" s="1610"/>
      <c r="AX27" s="1596"/>
      <c r="AY27" s="1610"/>
      <c r="AZ27" s="2093">
        <v>13</v>
      </c>
      <c r="BA27" s="1727">
        <v>113261582</v>
      </c>
      <c r="BB27" s="1727">
        <v>113261582</v>
      </c>
      <c r="BC27" s="2126">
        <f>+BB27/BA27</f>
        <v>1</v>
      </c>
      <c r="BD27" s="2137" t="s">
        <v>2022</v>
      </c>
      <c r="BE27" s="2129"/>
      <c r="BF27" s="2535">
        <v>42370</v>
      </c>
      <c r="BG27" s="1613"/>
      <c r="BH27" s="2535">
        <v>42582</v>
      </c>
      <c r="BI27" s="1613"/>
      <c r="BJ27" s="2536" t="s">
        <v>2025</v>
      </c>
    </row>
    <row r="28" spans="1:62" ht="15" x14ac:dyDescent="0.2">
      <c r="A28" s="4651"/>
      <c r="B28" s="4744"/>
      <c r="C28" s="2626"/>
      <c r="D28" s="2626"/>
      <c r="E28" s="212">
        <v>71</v>
      </c>
      <c r="F28" s="50" t="s">
        <v>2059</v>
      </c>
      <c r="G28" s="50"/>
      <c r="H28" s="50"/>
      <c r="I28" s="50"/>
      <c r="J28" s="50"/>
      <c r="K28" s="50"/>
      <c r="L28" s="50"/>
      <c r="M28" s="50"/>
      <c r="N28" s="50"/>
      <c r="O28" s="50"/>
      <c r="P28" s="1493"/>
      <c r="Q28" s="1493"/>
      <c r="R28" s="50"/>
      <c r="S28" s="50"/>
      <c r="T28" s="50"/>
      <c r="U28" s="1493"/>
      <c r="V28" s="1493"/>
      <c r="W28" s="1493"/>
      <c r="X28" s="2520"/>
      <c r="Y28" s="50"/>
      <c r="Z28" s="50"/>
      <c r="AA28" s="411"/>
      <c r="AB28" s="50"/>
      <c r="AC28" s="411"/>
      <c r="AD28" s="50"/>
      <c r="AE28" s="411"/>
      <c r="AF28" s="50"/>
      <c r="AG28" s="411"/>
      <c r="AH28" s="50"/>
      <c r="AI28" s="411"/>
      <c r="AJ28" s="50"/>
      <c r="AK28" s="411"/>
      <c r="AL28" s="50"/>
      <c r="AM28" s="411"/>
      <c r="AN28" s="50"/>
      <c r="AO28" s="411"/>
      <c r="AP28" s="50"/>
      <c r="AQ28" s="411"/>
      <c r="AR28" s="50"/>
      <c r="AS28" s="411"/>
      <c r="AT28" s="50"/>
      <c r="AU28" s="411"/>
      <c r="AV28" s="50"/>
      <c r="AW28" s="411"/>
      <c r="AX28" s="50"/>
      <c r="AY28" s="411"/>
      <c r="AZ28" s="2520"/>
      <c r="BA28" s="1493"/>
      <c r="BB28" s="1493"/>
      <c r="BC28" s="2520"/>
      <c r="BD28" s="2520"/>
      <c r="BE28" s="412"/>
      <c r="BF28" s="2520"/>
      <c r="BG28" s="643"/>
      <c r="BH28" s="2520"/>
      <c r="BI28" s="643"/>
      <c r="BJ28" s="50"/>
    </row>
    <row r="29" spans="1:62" ht="128.25" x14ac:dyDescent="0.2">
      <c r="A29" s="4651"/>
      <c r="B29" s="4744"/>
      <c r="C29" s="2626"/>
      <c r="D29" s="2626"/>
      <c r="E29" s="2626"/>
      <c r="F29" s="2626"/>
      <c r="G29" s="2137">
        <v>206</v>
      </c>
      <c r="H29" s="2129" t="s">
        <v>2060</v>
      </c>
      <c r="I29" s="2137" t="s">
        <v>453</v>
      </c>
      <c r="J29" s="2137">
        <v>12</v>
      </c>
      <c r="K29" s="2530">
        <v>12</v>
      </c>
      <c r="L29" s="1592" t="s">
        <v>2061</v>
      </c>
      <c r="M29" s="2626">
        <v>163</v>
      </c>
      <c r="N29" s="2604" t="s">
        <v>2062</v>
      </c>
      <c r="O29" s="2299">
        <f>P29/$Q$29</f>
        <v>0.28999999999999998</v>
      </c>
      <c r="P29" s="2538">
        <v>8700000</v>
      </c>
      <c r="Q29" s="4706">
        <f>SUM(P29:P31)</f>
        <v>30000000</v>
      </c>
      <c r="R29" s="4718" t="s">
        <v>2063</v>
      </c>
      <c r="S29" s="2547" t="s">
        <v>2064</v>
      </c>
      <c r="T29" s="2129" t="s">
        <v>2065</v>
      </c>
      <c r="U29" s="2538">
        <v>8700000</v>
      </c>
      <c r="V29" s="1808">
        <v>8700000</v>
      </c>
      <c r="W29" s="1808">
        <v>8700000</v>
      </c>
      <c r="X29" s="3401">
        <v>20</v>
      </c>
      <c r="Y29" s="2626" t="s">
        <v>637</v>
      </c>
      <c r="Z29" s="4696"/>
      <c r="AA29" s="4693"/>
      <c r="AB29" s="2626">
        <v>4164</v>
      </c>
      <c r="AC29" s="2672">
        <v>6270</v>
      </c>
      <c r="AD29" s="2626">
        <v>5851</v>
      </c>
      <c r="AE29" s="2672">
        <v>2452</v>
      </c>
      <c r="AF29" s="4696"/>
      <c r="AG29" s="4693"/>
      <c r="AH29" s="4696"/>
      <c r="AI29" s="4693"/>
      <c r="AJ29" s="4696"/>
      <c r="AK29" s="4693"/>
      <c r="AL29" s="4696"/>
      <c r="AM29" s="4693"/>
      <c r="AN29" s="4696"/>
      <c r="AO29" s="4693"/>
      <c r="AP29" s="4696"/>
      <c r="AQ29" s="4693"/>
      <c r="AR29" s="4696"/>
      <c r="AS29" s="4693"/>
      <c r="AT29" s="4696"/>
      <c r="AU29" s="4693"/>
      <c r="AV29" s="4696"/>
      <c r="AW29" s="4693"/>
      <c r="AX29" s="4696"/>
      <c r="AY29" s="4693"/>
      <c r="AZ29" s="2600">
        <v>6</v>
      </c>
      <c r="BA29" s="2538">
        <v>8700000</v>
      </c>
      <c r="BB29" s="2538">
        <v>8700000</v>
      </c>
      <c r="BC29" s="2137">
        <v>100</v>
      </c>
      <c r="BD29" s="2137" t="s">
        <v>130</v>
      </c>
      <c r="BE29" s="2605" t="s">
        <v>2066</v>
      </c>
      <c r="BF29" s="4711">
        <v>42370</v>
      </c>
      <c r="BG29" s="4712">
        <v>42583</v>
      </c>
      <c r="BH29" s="4711">
        <v>42735</v>
      </c>
      <c r="BI29" s="4712">
        <v>42735</v>
      </c>
      <c r="BJ29" s="4709" t="s">
        <v>2025</v>
      </c>
    </row>
    <row r="30" spans="1:62" ht="41.25" customHeight="1" x14ac:dyDescent="0.2">
      <c r="A30" s="4651"/>
      <c r="B30" s="4744"/>
      <c r="C30" s="2626"/>
      <c r="D30" s="2626"/>
      <c r="E30" s="2626"/>
      <c r="F30" s="2626"/>
      <c r="G30" s="2137">
        <v>207</v>
      </c>
      <c r="H30" s="2129" t="s">
        <v>2067</v>
      </c>
      <c r="I30" s="2137" t="s">
        <v>453</v>
      </c>
      <c r="J30" s="2137">
        <v>1</v>
      </c>
      <c r="K30" s="2530">
        <v>1</v>
      </c>
      <c r="L30" s="1592" t="s">
        <v>2061</v>
      </c>
      <c r="M30" s="2626"/>
      <c r="N30" s="2604"/>
      <c r="O30" s="2299">
        <f>P30/$Q$29</f>
        <v>0.54333333333333333</v>
      </c>
      <c r="P30" s="2538">
        <v>16300000</v>
      </c>
      <c r="Q30" s="4706"/>
      <c r="R30" s="4719"/>
      <c r="S30" s="2547" t="s">
        <v>2068</v>
      </c>
      <c r="T30" s="2129" t="s">
        <v>2069</v>
      </c>
      <c r="U30" s="2538">
        <v>16300000</v>
      </c>
      <c r="V30" s="1808">
        <v>14433333</v>
      </c>
      <c r="W30" s="1808">
        <v>14433333</v>
      </c>
      <c r="X30" s="3401"/>
      <c r="Y30" s="2626"/>
      <c r="Z30" s="4696"/>
      <c r="AA30" s="4694"/>
      <c r="AB30" s="4704"/>
      <c r="AC30" s="2673"/>
      <c r="AD30" s="4704"/>
      <c r="AE30" s="2673"/>
      <c r="AF30" s="4696"/>
      <c r="AG30" s="4694"/>
      <c r="AH30" s="4696"/>
      <c r="AI30" s="4694"/>
      <c r="AJ30" s="4696"/>
      <c r="AK30" s="4694"/>
      <c r="AL30" s="4696"/>
      <c r="AM30" s="4694"/>
      <c r="AN30" s="4696"/>
      <c r="AO30" s="4694"/>
      <c r="AP30" s="4696"/>
      <c r="AQ30" s="4694"/>
      <c r="AR30" s="4696"/>
      <c r="AS30" s="4694"/>
      <c r="AT30" s="4696"/>
      <c r="AU30" s="4694"/>
      <c r="AV30" s="4696"/>
      <c r="AW30" s="4694"/>
      <c r="AX30" s="4696"/>
      <c r="AY30" s="4694"/>
      <c r="AZ30" s="2601"/>
      <c r="BA30" s="2538">
        <f>19433333-5000000</f>
        <v>14433333</v>
      </c>
      <c r="BB30" s="2538">
        <f>19433333-5000000</f>
        <v>14433333</v>
      </c>
      <c r="BC30" s="2600">
        <v>100</v>
      </c>
      <c r="BD30" s="2600" t="s">
        <v>130</v>
      </c>
      <c r="BE30" s="2987"/>
      <c r="BF30" s="4711"/>
      <c r="BG30" s="4713"/>
      <c r="BH30" s="4711"/>
      <c r="BI30" s="4713"/>
      <c r="BJ30" s="4710"/>
    </row>
    <row r="31" spans="1:62" ht="58.5" customHeight="1" x14ac:dyDescent="0.2">
      <c r="A31" s="4651"/>
      <c r="B31" s="4744"/>
      <c r="C31" s="2626"/>
      <c r="D31" s="2626"/>
      <c r="E31" s="2626"/>
      <c r="F31" s="2626"/>
      <c r="G31" s="2137">
        <v>208</v>
      </c>
      <c r="H31" s="2129" t="s">
        <v>2070</v>
      </c>
      <c r="I31" s="2137" t="s">
        <v>453</v>
      </c>
      <c r="J31" s="2137">
        <v>1</v>
      </c>
      <c r="K31" s="2530">
        <v>0</v>
      </c>
      <c r="L31" s="1592"/>
      <c r="M31" s="2626"/>
      <c r="N31" s="2604"/>
      <c r="O31" s="2299">
        <f>P31/$Q$29</f>
        <v>0.16666666666666666</v>
      </c>
      <c r="P31" s="2538">
        <v>5000000</v>
      </c>
      <c r="Q31" s="4706"/>
      <c r="R31" s="4719"/>
      <c r="S31" s="2547" t="s">
        <v>2071</v>
      </c>
      <c r="T31" s="2129" t="s">
        <v>2072</v>
      </c>
      <c r="U31" s="2545">
        <v>5000000</v>
      </c>
      <c r="V31" s="2432">
        <v>5000000</v>
      </c>
      <c r="W31" s="2432">
        <v>5000000</v>
      </c>
      <c r="X31" s="3401"/>
      <c r="Y31" s="2626"/>
      <c r="Z31" s="4696"/>
      <c r="AA31" s="4695"/>
      <c r="AB31" s="4704"/>
      <c r="AC31" s="2674"/>
      <c r="AD31" s="4704"/>
      <c r="AE31" s="2674"/>
      <c r="AF31" s="4696"/>
      <c r="AG31" s="4695"/>
      <c r="AH31" s="4696"/>
      <c r="AI31" s="4695"/>
      <c r="AJ31" s="4696"/>
      <c r="AK31" s="4695"/>
      <c r="AL31" s="4696"/>
      <c r="AM31" s="4695"/>
      <c r="AN31" s="4696"/>
      <c r="AO31" s="4695"/>
      <c r="AP31" s="4696"/>
      <c r="AQ31" s="4695"/>
      <c r="AR31" s="4696"/>
      <c r="AS31" s="4695"/>
      <c r="AT31" s="4696"/>
      <c r="AU31" s="4695"/>
      <c r="AV31" s="4696"/>
      <c r="AW31" s="4695"/>
      <c r="AX31" s="4696"/>
      <c r="AY31" s="4695"/>
      <c r="AZ31" s="2636"/>
      <c r="BA31" s="1806">
        <v>5000000</v>
      </c>
      <c r="BB31" s="1806">
        <v>5000000</v>
      </c>
      <c r="BC31" s="2636"/>
      <c r="BD31" s="2636"/>
      <c r="BE31" s="2988"/>
      <c r="BF31" s="4711"/>
      <c r="BG31" s="4714"/>
      <c r="BH31" s="4711"/>
      <c r="BI31" s="4714"/>
      <c r="BJ31" s="4710"/>
    </row>
    <row r="32" spans="1:62" ht="15" x14ac:dyDescent="0.2">
      <c r="A32" s="4651"/>
      <c r="B32" s="4744"/>
      <c r="C32" s="205">
        <v>21</v>
      </c>
      <c r="D32" s="2213" t="s">
        <v>2073</v>
      </c>
      <c r="E32" s="206"/>
      <c r="F32" s="207"/>
      <c r="G32" s="206"/>
      <c r="H32" s="206"/>
      <c r="I32" s="206"/>
      <c r="J32" s="206"/>
      <c r="K32" s="206"/>
      <c r="L32" s="206"/>
      <c r="M32" s="208"/>
      <c r="N32" s="206"/>
      <c r="O32" s="206"/>
      <c r="P32" s="1807"/>
      <c r="Q32" s="1807"/>
      <c r="R32" s="206"/>
      <c r="S32" s="206"/>
      <c r="T32" s="206"/>
      <c r="U32" s="1807"/>
      <c r="V32" s="1816"/>
      <c r="W32" s="1816"/>
      <c r="X32" s="210"/>
      <c r="Y32" s="210" t="s">
        <v>197</v>
      </c>
      <c r="Z32" s="206"/>
      <c r="AA32" s="208"/>
      <c r="AB32" s="206"/>
      <c r="AC32" s="208"/>
      <c r="AD32" s="206"/>
      <c r="AE32" s="208"/>
      <c r="AF32" s="206"/>
      <c r="AG32" s="208"/>
      <c r="AH32" s="206"/>
      <c r="AI32" s="208"/>
      <c r="AJ32" s="206"/>
      <c r="AK32" s="208"/>
      <c r="AL32" s="206"/>
      <c r="AM32" s="208"/>
      <c r="AN32" s="206"/>
      <c r="AO32" s="208"/>
      <c r="AP32" s="206"/>
      <c r="AQ32" s="208"/>
      <c r="AR32" s="206"/>
      <c r="AS32" s="208"/>
      <c r="AT32" s="206"/>
      <c r="AU32" s="208"/>
      <c r="AV32" s="206"/>
      <c r="AW32" s="208"/>
      <c r="AX32" s="206"/>
      <c r="AY32" s="208"/>
      <c r="AZ32" s="209"/>
      <c r="BA32" s="1807"/>
      <c r="BB32" s="1807"/>
      <c r="BC32" s="209"/>
      <c r="BD32" s="209"/>
      <c r="BE32" s="1571"/>
      <c r="BF32" s="209"/>
      <c r="BG32" s="210"/>
      <c r="BH32" s="209"/>
      <c r="BI32" s="210"/>
      <c r="BJ32" s="211"/>
    </row>
    <row r="33" spans="1:62" ht="15" x14ac:dyDescent="0.2">
      <c r="A33" s="4651"/>
      <c r="B33" s="4744"/>
      <c r="C33" s="2626"/>
      <c r="D33" s="2626"/>
      <c r="E33" s="212">
        <v>72</v>
      </c>
      <c r="F33" s="50" t="s">
        <v>2074</v>
      </c>
      <c r="G33" s="50"/>
      <c r="H33" s="50"/>
      <c r="I33" s="50"/>
      <c r="J33" s="50"/>
      <c r="K33" s="50"/>
      <c r="L33" s="50"/>
      <c r="M33" s="50"/>
      <c r="N33" s="50"/>
      <c r="O33" s="50"/>
      <c r="P33" s="1493"/>
      <c r="Q33" s="1493"/>
      <c r="R33" s="50"/>
      <c r="S33" s="50"/>
      <c r="T33" s="50"/>
      <c r="U33" s="1493"/>
      <c r="V33" s="1493"/>
      <c r="W33" s="1493"/>
      <c r="X33" s="2520"/>
      <c r="Y33" s="50"/>
      <c r="Z33" s="50"/>
      <c r="AA33" s="411"/>
      <c r="AB33" s="50"/>
      <c r="AC33" s="411"/>
      <c r="AD33" s="50"/>
      <c r="AE33" s="411"/>
      <c r="AF33" s="50"/>
      <c r="AG33" s="411"/>
      <c r="AH33" s="50"/>
      <c r="AI33" s="411"/>
      <c r="AJ33" s="50"/>
      <c r="AK33" s="411"/>
      <c r="AL33" s="50"/>
      <c r="AM33" s="411"/>
      <c r="AN33" s="50"/>
      <c r="AO33" s="411"/>
      <c r="AP33" s="50"/>
      <c r="AQ33" s="411"/>
      <c r="AR33" s="50"/>
      <c r="AS33" s="411"/>
      <c r="AT33" s="50"/>
      <c r="AU33" s="411"/>
      <c r="AV33" s="50"/>
      <c r="AW33" s="411"/>
      <c r="AX33" s="50"/>
      <c r="AY33" s="411"/>
      <c r="AZ33" s="2520"/>
      <c r="BA33" s="1493"/>
      <c r="BB33" s="1493"/>
      <c r="BC33" s="2520"/>
      <c r="BD33" s="2520"/>
      <c r="BE33" s="412"/>
      <c r="BF33" s="2520"/>
      <c r="BG33" s="643"/>
      <c r="BH33" s="2520"/>
      <c r="BI33" s="643"/>
      <c r="BJ33" s="50"/>
    </row>
    <row r="34" spans="1:62" ht="111" customHeight="1" x14ac:dyDescent="0.2">
      <c r="A34" s="4651"/>
      <c r="B34" s="4744"/>
      <c r="C34" s="2626"/>
      <c r="D34" s="2626"/>
      <c r="E34" s="2626"/>
      <c r="F34" s="2626"/>
      <c r="G34" s="2137">
        <v>209</v>
      </c>
      <c r="H34" s="2129" t="s">
        <v>2075</v>
      </c>
      <c r="I34" s="2137" t="s">
        <v>453</v>
      </c>
      <c r="J34" s="2137">
        <v>1</v>
      </c>
      <c r="K34" s="2530">
        <v>1</v>
      </c>
      <c r="L34" s="2600" t="s">
        <v>2076</v>
      </c>
      <c r="M34" s="2626">
        <v>164</v>
      </c>
      <c r="N34" s="2604" t="s">
        <v>2077</v>
      </c>
      <c r="O34" s="2299">
        <f>P34/$Q$34</f>
        <v>0.63507051408752369</v>
      </c>
      <c r="P34" s="2538">
        <v>18520000</v>
      </c>
      <c r="Q34" s="4706">
        <f>SUM(P34:P36)</f>
        <v>29162116</v>
      </c>
      <c r="R34" s="2677" t="s">
        <v>2078</v>
      </c>
      <c r="S34" s="2547" t="s">
        <v>2079</v>
      </c>
      <c r="T34" s="2129" t="s">
        <v>2080</v>
      </c>
      <c r="U34" s="2545">
        <v>18520000</v>
      </c>
      <c r="V34" s="2432">
        <v>18520000</v>
      </c>
      <c r="W34" s="2432">
        <v>18520000</v>
      </c>
      <c r="X34" s="3401">
        <v>20</v>
      </c>
      <c r="Y34" s="2626" t="s">
        <v>637</v>
      </c>
      <c r="Z34" s="3891">
        <v>3525</v>
      </c>
      <c r="AA34" s="4310">
        <v>1399</v>
      </c>
      <c r="AB34" s="3891">
        <v>17139</v>
      </c>
      <c r="AC34" s="4310">
        <v>4270</v>
      </c>
      <c r="AD34" s="3891">
        <v>4167</v>
      </c>
      <c r="AE34" s="4310">
        <v>2021</v>
      </c>
      <c r="AF34" s="3891">
        <v>906</v>
      </c>
      <c r="AG34" s="4310">
        <v>1100</v>
      </c>
      <c r="AH34" s="2600">
        <v>906</v>
      </c>
      <c r="AI34" s="2672">
        <v>1100</v>
      </c>
      <c r="AJ34" s="4696"/>
      <c r="AK34" s="2672">
        <v>350</v>
      </c>
      <c r="AL34" s="2581">
        <v>718</v>
      </c>
      <c r="AM34" s="4310">
        <v>5398</v>
      </c>
      <c r="AN34" s="4696"/>
      <c r="AO34" s="4693"/>
      <c r="AP34" s="4696"/>
      <c r="AQ34" s="4693"/>
      <c r="AR34" s="4696"/>
      <c r="AS34" s="4693"/>
      <c r="AT34" s="4696"/>
      <c r="AU34" s="4693"/>
      <c r="AV34" s="2683">
        <v>27</v>
      </c>
      <c r="AW34" s="2672"/>
      <c r="AX34" s="4696"/>
      <c r="AY34" s="4693"/>
      <c r="AZ34" s="2600">
        <v>13</v>
      </c>
      <c r="BA34" s="1805">
        <v>18520000</v>
      </c>
      <c r="BB34" s="1805">
        <v>18520000</v>
      </c>
      <c r="BC34" s="2097">
        <f>BB34/BA34*100</f>
        <v>100</v>
      </c>
      <c r="BD34" s="2600" t="s">
        <v>130</v>
      </c>
      <c r="BE34" s="2605" t="s">
        <v>2081</v>
      </c>
      <c r="BF34" s="4715">
        <v>42370</v>
      </c>
      <c r="BG34" s="4712">
        <v>42583</v>
      </c>
      <c r="BH34" s="4715">
        <v>42735</v>
      </c>
      <c r="BI34" s="4712">
        <v>42735</v>
      </c>
      <c r="BJ34" s="4709" t="s">
        <v>2025</v>
      </c>
    </row>
    <row r="35" spans="1:62" ht="57" x14ac:dyDescent="0.2">
      <c r="A35" s="4651"/>
      <c r="B35" s="4744"/>
      <c r="C35" s="2626"/>
      <c r="D35" s="2626"/>
      <c r="E35" s="2626"/>
      <c r="F35" s="2626"/>
      <c r="G35" s="2137">
        <v>210</v>
      </c>
      <c r="H35" s="2129" t="s">
        <v>2082</v>
      </c>
      <c r="I35" s="2137" t="s">
        <v>453</v>
      </c>
      <c r="J35" s="2137">
        <v>1</v>
      </c>
      <c r="K35" s="2530">
        <v>1</v>
      </c>
      <c r="L35" s="2601"/>
      <c r="M35" s="2626"/>
      <c r="N35" s="2604"/>
      <c r="O35" s="2299">
        <f>P35/$Q$34</f>
        <v>4.0230311133801128E-2</v>
      </c>
      <c r="P35" s="2538">
        <v>1173201</v>
      </c>
      <c r="Q35" s="4706"/>
      <c r="R35" s="2677"/>
      <c r="S35" s="2547" t="s">
        <v>2082</v>
      </c>
      <c r="T35" s="2129" t="s">
        <v>2083</v>
      </c>
      <c r="U35" s="2545">
        <v>1173201</v>
      </c>
      <c r="V35" s="2432">
        <v>1173201</v>
      </c>
      <c r="W35" s="2432">
        <v>1173201</v>
      </c>
      <c r="X35" s="3401"/>
      <c r="Y35" s="2626"/>
      <c r="Z35" s="3926"/>
      <c r="AA35" s="3960"/>
      <c r="AB35" s="3926"/>
      <c r="AC35" s="3960"/>
      <c r="AD35" s="3926"/>
      <c r="AE35" s="3960"/>
      <c r="AF35" s="3926"/>
      <c r="AG35" s="3960"/>
      <c r="AH35" s="2601"/>
      <c r="AI35" s="2673"/>
      <c r="AJ35" s="4696"/>
      <c r="AK35" s="2673"/>
      <c r="AL35" s="2582"/>
      <c r="AM35" s="3960"/>
      <c r="AN35" s="4696"/>
      <c r="AO35" s="4694"/>
      <c r="AP35" s="4696"/>
      <c r="AQ35" s="4694"/>
      <c r="AR35" s="4696"/>
      <c r="AS35" s="4694"/>
      <c r="AT35" s="4696"/>
      <c r="AU35" s="4694"/>
      <c r="AV35" s="2683"/>
      <c r="AW35" s="2673"/>
      <c r="AX35" s="4696"/>
      <c r="AY35" s="4694"/>
      <c r="AZ35" s="2601"/>
      <c r="BA35" s="1805">
        <v>1173201</v>
      </c>
      <c r="BB35" s="1805">
        <v>1173201</v>
      </c>
      <c r="BC35" s="2097">
        <f>BB35/BA35*100</f>
        <v>100</v>
      </c>
      <c r="BD35" s="2601"/>
      <c r="BE35" s="2987"/>
      <c r="BF35" s="4716"/>
      <c r="BG35" s="4713"/>
      <c r="BH35" s="4716"/>
      <c r="BI35" s="4713"/>
      <c r="BJ35" s="4710"/>
    </row>
    <row r="36" spans="1:62" ht="87.75" customHeight="1" x14ac:dyDescent="0.2">
      <c r="A36" s="4651"/>
      <c r="B36" s="4744"/>
      <c r="C36" s="2626"/>
      <c r="D36" s="2626"/>
      <c r="E36" s="2626"/>
      <c r="F36" s="2626"/>
      <c r="G36" s="2137">
        <v>211</v>
      </c>
      <c r="H36" s="2129" t="s">
        <v>2058</v>
      </c>
      <c r="I36" s="2137" t="s">
        <v>453</v>
      </c>
      <c r="J36" s="2137">
        <v>1</v>
      </c>
      <c r="K36" s="2530">
        <v>1</v>
      </c>
      <c r="L36" s="2636"/>
      <c r="M36" s="2626"/>
      <c r="N36" s="2604"/>
      <c r="O36" s="2299">
        <f>P36/$Q$34</f>
        <v>0.32469917477867516</v>
      </c>
      <c r="P36" s="2538">
        <v>9468915</v>
      </c>
      <c r="Q36" s="4706"/>
      <c r="R36" s="2677"/>
      <c r="S36" s="4707" t="s">
        <v>2084</v>
      </c>
      <c r="T36" s="2129" t="s">
        <v>2085</v>
      </c>
      <c r="U36" s="2545">
        <v>9468915</v>
      </c>
      <c r="V36" s="2432">
        <v>3031293</v>
      </c>
      <c r="W36" s="2432">
        <v>3031293</v>
      </c>
      <c r="X36" s="3401"/>
      <c r="Y36" s="2626"/>
      <c r="Z36" s="4224"/>
      <c r="AA36" s="4311"/>
      <c r="AB36" s="4224"/>
      <c r="AC36" s="4311"/>
      <c r="AD36" s="4224"/>
      <c r="AE36" s="4311"/>
      <c r="AF36" s="4224"/>
      <c r="AG36" s="4311"/>
      <c r="AH36" s="2636"/>
      <c r="AI36" s="2674"/>
      <c r="AJ36" s="4696"/>
      <c r="AK36" s="2674"/>
      <c r="AL36" s="2583"/>
      <c r="AM36" s="4311"/>
      <c r="AN36" s="4696"/>
      <c r="AO36" s="4695"/>
      <c r="AP36" s="4696"/>
      <c r="AQ36" s="4695"/>
      <c r="AR36" s="4696"/>
      <c r="AS36" s="4695"/>
      <c r="AT36" s="4696"/>
      <c r="AU36" s="4695"/>
      <c r="AV36" s="2683"/>
      <c r="AW36" s="2674"/>
      <c r="AX36" s="4696"/>
      <c r="AY36" s="4695"/>
      <c r="AZ36" s="2601"/>
      <c r="BA36" s="1805">
        <f>W36</f>
        <v>3031293</v>
      </c>
      <c r="BB36" s="1805">
        <f>BA36</f>
        <v>3031293</v>
      </c>
      <c r="BC36" s="2097">
        <f>BB36/BA36*100</f>
        <v>100</v>
      </c>
      <c r="BD36" s="2636"/>
      <c r="BE36" s="2988"/>
      <c r="BF36" s="4716"/>
      <c r="BG36" s="4713"/>
      <c r="BH36" s="4716"/>
      <c r="BI36" s="4713"/>
      <c r="BJ36" s="4710"/>
    </row>
    <row r="37" spans="1:62" ht="171" x14ac:dyDescent="0.2">
      <c r="A37" s="4651"/>
      <c r="B37" s="4744"/>
      <c r="C37" s="2626"/>
      <c r="D37" s="2626"/>
      <c r="E37" s="2626"/>
      <c r="F37" s="2626"/>
      <c r="G37" s="2137">
        <v>211</v>
      </c>
      <c r="H37" s="2129" t="s">
        <v>2058</v>
      </c>
      <c r="I37" s="2137" t="s">
        <v>453</v>
      </c>
      <c r="J37" s="2137">
        <v>1</v>
      </c>
      <c r="K37" s="2530">
        <v>1</v>
      </c>
      <c r="L37" s="2137" t="s">
        <v>2086</v>
      </c>
      <c r="M37" s="2137">
        <v>169</v>
      </c>
      <c r="N37" s="2129" t="s">
        <v>2087</v>
      </c>
      <c r="O37" s="2299">
        <v>1</v>
      </c>
      <c r="P37" s="2538">
        <v>74501465</v>
      </c>
      <c r="Q37" s="2538">
        <f>P37</f>
        <v>74501465</v>
      </c>
      <c r="R37" s="2540" t="s">
        <v>2088</v>
      </c>
      <c r="S37" s="4708"/>
      <c r="T37" s="2129" t="s">
        <v>2058</v>
      </c>
      <c r="U37" s="2545">
        <v>74501465</v>
      </c>
      <c r="V37" s="2432">
        <v>59859332</v>
      </c>
      <c r="W37" s="2432">
        <v>59859332</v>
      </c>
      <c r="X37" s="2290">
        <v>20</v>
      </c>
      <c r="Y37" s="2137" t="s">
        <v>637</v>
      </c>
      <c r="Z37" s="2137">
        <f>+Z34</f>
        <v>3525</v>
      </c>
      <c r="AA37" s="2530">
        <v>3525</v>
      </c>
      <c r="AB37" s="2137">
        <f>+AB34</f>
        <v>17139</v>
      </c>
      <c r="AC37" s="2530">
        <v>17139</v>
      </c>
      <c r="AD37" s="2548"/>
      <c r="AE37" s="1610"/>
      <c r="AF37" s="2548"/>
      <c r="AG37" s="1610"/>
      <c r="AH37" s="2548"/>
      <c r="AI37" s="1610"/>
      <c r="AJ37" s="2548"/>
      <c r="AK37" s="1610"/>
      <c r="AL37" s="2548"/>
      <c r="AM37" s="1610"/>
      <c r="AN37" s="2548"/>
      <c r="AO37" s="1610"/>
      <c r="AP37" s="2548"/>
      <c r="AQ37" s="1610"/>
      <c r="AR37" s="2548"/>
      <c r="AS37" s="1610"/>
      <c r="AT37" s="2548"/>
      <c r="AU37" s="1610"/>
      <c r="AV37" s="2548"/>
      <c r="AW37" s="1610"/>
      <c r="AX37" s="2548"/>
      <c r="AY37" s="1610"/>
      <c r="AZ37" s="2636"/>
      <c r="BA37" s="1727">
        <f>W37</f>
        <v>59859332</v>
      </c>
      <c r="BB37" s="1727">
        <f>BA37</f>
        <v>59859332</v>
      </c>
      <c r="BC37" s="2097">
        <f>BB37/BA37*100</f>
        <v>100</v>
      </c>
      <c r="BD37" s="2137" t="s">
        <v>130</v>
      </c>
      <c r="BE37" s="2129" t="s">
        <v>2081</v>
      </c>
      <c r="BF37" s="4717"/>
      <c r="BG37" s="4714"/>
      <c r="BH37" s="4717"/>
      <c r="BI37" s="4714"/>
      <c r="BJ37" s="2536" t="s">
        <v>2025</v>
      </c>
    </row>
    <row r="38" spans="1:62" ht="15" x14ac:dyDescent="0.2">
      <c r="A38" s="4651"/>
      <c r="B38" s="4744"/>
      <c r="C38" s="2626"/>
      <c r="D38" s="2626"/>
      <c r="E38" s="212">
        <v>73</v>
      </c>
      <c r="F38" s="50" t="s">
        <v>2089</v>
      </c>
      <c r="G38" s="50"/>
      <c r="H38" s="50"/>
      <c r="I38" s="50"/>
      <c r="J38" s="50"/>
      <c r="K38" s="50"/>
      <c r="L38" s="50"/>
      <c r="M38" s="50"/>
      <c r="N38" s="50"/>
      <c r="O38" s="50"/>
      <c r="P38" s="1493"/>
      <c r="Q38" s="1493"/>
      <c r="R38" s="50"/>
      <c r="S38" s="50"/>
      <c r="T38" s="50" t="s">
        <v>197</v>
      </c>
      <c r="U38" s="1493"/>
      <c r="V38" s="1493"/>
      <c r="W38" s="1493"/>
      <c r="X38" s="2520"/>
      <c r="Y38" s="50"/>
      <c r="Z38" s="50"/>
      <c r="AA38" s="411"/>
      <c r="AB38" s="50"/>
      <c r="AC38" s="411"/>
      <c r="AD38" s="50"/>
      <c r="AE38" s="411"/>
      <c r="AF38" s="50"/>
      <c r="AG38" s="411"/>
      <c r="AH38" s="50"/>
      <c r="AI38" s="411"/>
      <c r="AJ38" s="50"/>
      <c r="AK38" s="411"/>
      <c r="AL38" s="50"/>
      <c r="AM38" s="411"/>
      <c r="AN38" s="50"/>
      <c r="AO38" s="411"/>
      <c r="AP38" s="50"/>
      <c r="AQ38" s="411"/>
      <c r="AR38" s="50"/>
      <c r="AS38" s="411"/>
      <c r="AT38" s="50"/>
      <c r="AU38" s="411"/>
      <c r="AV38" s="50"/>
      <c r="AW38" s="411"/>
      <c r="AX38" s="50"/>
      <c r="AY38" s="411"/>
      <c r="AZ38" s="2520"/>
      <c r="BA38" s="1493"/>
      <c r="BB38" s="1493"/>
      <c r="BC38" s="2520"/>
      <c r="BD38" s="2520"/>
      <c r="BE38" s="412"/>
      <c r="BF38" s="2520"/>
      <c r="BG38" s="643"/>
      <c r="BH38" s="2520"/>
      <c r="BI38" s="643"/>
      <c r="BJ38" s="50"/>
    </row>
    <row r="39" spans="1:62" ht="111" customHeight="1" x14ac:dyDescent="0.2">
      <c r="A39" s="4651"/>
      <c r="B39" s="4744"/>
      <c r="C39" s="2626"/>
      <c r="D39" s="4178"/>
      <c r="E39" s="2626"/>
      <c r="F39" s="2626"/>
      <c r="G39" s="2626">
        <v>212</v>
      </c>
      <c r="H39" s="2604" t="s">
        <v>2090</v>
      </c>
      <c r="I39" s="2626" t="s">
        <v>453</v>
      </c>
      <c r="J39" s="2626">
        <v>1</v>
      </c>
      <c r="K39" s="4670">
        <v>1</v>
      </c>
      <c r="L39" s="2137" t="s">
        <v>2091</v>
      </c>
      <c r="M39" s="2626">
        <v>165</v>
      </c>
      <c r="N39" s="2543" t="s">
        <v>2092</v>
      </c>
      <c r="O39" s="3448">
        <v>1</v>
      </c>
      <c r="P39" s="4701">
        <f>71923416+4200000</f>
        <v>76123416</v>
      </c>
      <c r="Q39" s="4701">
        <f>P39</f>
        <v>76123416</v>
      </c>
      <c r="R39" s="4702" t="s">
        <v>2093</v>
      </c>
      <c r="S39" s="4703" t="s">
        <v>2094</v>
      </c>
      <c r="T39" s="2604" t="s">
        <v>2090</v>
      </c>
      <c r="U39" s="2545">
        <v>71923416</v>
      </c>
      <c r="V39" s="2432">
        <v>22900000</v>
      </c>
      <c r="W39" s="2432">
        <v>22900000</v>
      </c>
      <c r="X39" s="2290">
        <v>54</v>
      </c>
      <c r="Y39" s="2137" t="s">
        <v>2022</v>
      </c>
      <c r="Z39" s="2581">
        <v>3525</v>
      </c>
      <c r="AA39" s="2672">
        <v>100</v>
      </c>
      <c r="AB39" s="2581">
        <v>17139</v>
      </c>
      <c r="AC39" s="2672">
        <v>28</v>
      </c>
      <c r="AD39" s="2581">
        <v>4167</v>
      </c>
      <c r="AE39" s="4673">
        <v>57</v>
      </c>
      <c r="AF39" s="4675"/>
      <c r="AG39" s="4673">
        <v>66</v>
      </c>
      <c r="AH39" s="4675"/>
      <c r="AI39" s="4673">
        <v>66</v>
      </c>
      <c r="AJ39" s="4675"/>
      <c r="AK39" s="4673">
        <v>117</v>
      </c>
      <c r="AL39" s="4675">
        <v>718</v>
      </c>
      <c r="AM39" s="4673">
        <v>201</v>
      </c>
      <c r="AN39" s="4675"/>
      <c r="AO39" s="4673"/>
      <c r="AP39" s="4675"/>
      <c r="AQ39" s="4673"/>
      <c r="AR39" s="4675"/>
      <c r="AS39" s="4673"/>
      <c r="AT39" s="2683"/>
      <c r="AU39" s="4670"/>
      <c r="AV39" s="2683">
        <v>27</v>
      </c>
      <c r="AW39" s="4670"/>
      <c r="AX39" s="2683"/>
      <c r="AY39" s="4670"/>
      <c r="AZ39" s="2624">
        <v>2</v>
      </c>
      <c r="BA39" s="1805">
        <v>22900000</v>
      </c>
      <c r="BB39" s="1805">
        <v>22900000</v>
      </c>
      <c r="BC39" s="4671">
        <f>BB39/BA39*100</f>
        <v>100</v>
      </c>
      <c r="BD39" s="4671" t="s">
        <v>2095</v>
      </c>
      <c r="BE39" s="4672" t="s">
        <v>2096</v>
      </c>
      <c r="BF39" s="3889">
        <v>42598</v>
      </c>
      <c r="BG39" s="4667">
        <v>42605</v>
      </c>
      <c r="BH39" s="3889">
        <v>42735</v>
      </c>
      <c r="BI39" s="4667">
        <v>42735</v>
      </c>
      <c r="BJ39" s="4668" t="s">
        <v>2025</v>
      </c>
    </row>
    <row r="40" spans="1:62" ht="111" customHeight="1" x14ac:dyDescent="0.2">
      <c r="A40" s="4651"/>
      <c r="B40" s="4744"/>
      <c r="C40" s="2450"/>
      <c r="D40" s="1804"/>
      <c r="E40" s="2626"/>
      <c r="F40" s="2626"/>
      <c r="G40" s="2626"/>
      <c r="H40" s="2604"/>
      <c r="I40" s="2626"/>
      <c r="J40" s="2626"/>
      <c r="K40" s="4670"/>
      <c r="L40" s="2137" t="s">
        <v>2086</v>
      </c>
      <c r="M40" s="2626"/>
      <c r="N40" s="2543" t="s">
        <v>2097</v>
      </c>
      <c r="O40" s="3448"/>
      <c r="P40" s="4701"/>
      <c r="Q40" s="4701"/>
      <c r="R40" s="4702"/>
      <c r="S40" s="4703"/>
      <c r="T40" s="2604"/>
      <c r="U40" s="2545">
        <v>4200000</v>
      </c>
      <c r="V40" s="2432">
        <v>3291667</v>
      </c>
      <c r="W40" s="2432">
        <v>3291667</v>
      </c>
      <c r="X40" s="2290">
        <v>20</v>
      </c>
      <c r="Y40" s="2137" t="s">
        <v>637</v>
      </c>
      <c r="Z40" s="2583"/>
      <c r="AA40" s="2674"/>
      <c r="AB40" s="2583"/>
      <c r="AC40" s="2674"/>
      <c r="AD40" s="2583"/>
      <c r="AE40" s="4674"/>
      <c r="AF40" s="4676"/>
      <c r="AG40" s="4674"/>
      <c r="AH40" s="4676"/>
      <c r="AI40" s="4674"/>
      <c r="AJ40" s="4676"/>
      <c r="AK40" s="4674"/>
      <c r="AL40" s="4676"/>
      <c r="AM40" s="4674"/>
      <c r="AN40" s="4676"/>
      <c r="AO40" s="4674"/>
      <c r="AP40" s="4676"/>
      <c r="AQ40" s="4674"/>
      <c r="AR40" s="4676"/>
      <c r="AS40" s="4674"/>
      <c r="AT40" s="2683"/>
      <c r="AU40" s="4670"/>
      <c r="AV40" s="2683"/>
      <c r="AW40" s="4670"/>
      <c r="AX40" s="2683"/>
      <c r="AY40" s="4670"/>
      <c r="AZ40" s="2624"/>
      <c r="BA40" s="1805">
        <v>3291667</v>
      </c>
      <c r="BB40" s="1805">
        <v>3291667</v>
      </c>
      <c r="BC40" s="4671"/>
      <c r="BD40" s="4671"/>
      <c r="BE40" s="4672"/>
      <c r="BF40" s="3889"/>
      <c r="BG40" s="4667"/>
      <c r="BH40" s="3889"/>
      <c r="BI40" s="4667"/>
      <c r="BJ40" s="4669"/>
    </row>
    <row r="41" spans="1:62" ht="15" x14ac:dyDescent="0.2">
      <c r="A41" s="4651"/>
      <c r="B41" s="4744"/>
      <c r="C41" s="205">
        <v>22</v>
      </c>
      <c r="D41" s="2213" t="s">
        <v>2098</v>
      </c>
      <c r="E41" s="206"/>
      <c r="F41" s="207"/>
      <c r="G41" s="206"/>
      <c r="H41" s="206"/>
      <c r="I41" s="206"/>
      <c r="J41" s="206"/>
      <c r="K41" s="206"/>
      <c r="L41" s="206"/>
      <c r="M41" s="208"/>
      <c r="N41" s="206"/>
      <c r="O41" s="206"/>
      <c r="P41" s="1807"/>
      <c r="Q41" s="1807"/>
      <c r="R41" s="206"/>
      <c r="S41" s="206"/>
      <c r="T41" s="206"/>
      <c r="U41" s="1807"/>
      <c r="V41" s="1816"/>
      <c r="W41" s="1816"/>
      <c r="X41" s="210"/>
      <c r="Y41" s="210"/>
      <c r="Z41" s="206"/>
      <c r="AA41" s="208"/>
      <c r="AB41" s="206"/>
      <c r="AC41" s="208"/>
      <c r="AD41" s="206"/>
      <c r="AE41" s="208"/>
      <c r="AF41" s="206"/>
      <c r="AG41" s="208"/>
      <c r="AH41" s="206"/>
      <c r="AI41" s="208"/>
      <c r="AJ41" s="206"/>
      <c r="AK41" s="208"/>
      <c r="AL41" s="206"/>
      <c r="AM41" s="208"/>
      <c r="AN41" s="206"/>
      <c r="AO41" s="208"/>
      <c r="AP41" s="206"/>
      <c r="AQ41" s="208"/>
      <c r="AR41" s="206"/>
      <c r="AS41" s="208"/>
      <c r="AT41" s="206"/>
      <c r="AU41" s="208"/>
      <c r="AV41" s="206"/>
      <c r="AW41" s="208"/>
      <c r="AX41" s="206"/>
      <c r="AY41" s="208"/>
      <c r="AZ41" s="209"/>
      <c r="BA41" s="1807"/>
      <c r="BB41" s="1807"/>
      <c r="BC41" s="209"/>
      <c r="BD41" s="209"/>
      <c r="BE41" s="1571"/>
      <c r="BF41" s="209"/>
      <c r="BG41" s="210"/>
      <c r="BH41" s="209"/>
      <c r="BI41" s="210"/>
      <c r="BJ41" s="211"/>
    </row>
    <row r="42" spans="1:62" ht="15" x14ac:dyDescent="0.2">
      <c r="A42" s="4651"/>
      <c r="B42" s="4744"/>
      <c r="C42" s="3412"/>
      <c r="D42" s="3414"/>
      <c r="E42" s="212">
        <v>74</v>
      </c>
      <c r="F42" s="50" t="s">
        <v>2099</v>
      </c>
      <c r="G42" s="50"/>
      <c r="H42" s="50"/>
      <c r="I42" s="50"/>
      <c r="J42" s="50"/>
      <c r="K42" s="50"/>
      <c r="L42" s="50"/>
      <c r="M42" s="50"/>
      <c r="N42" s="50"/>
      <c r="O42" s="50"/>
      <c r="P42" s="1493"/>
      <c r="Q42" s="1493"/>
      <c r="R42" s="50"/>
      <c r="S42" s="50"/>
      <c r="T42" s="50"/>
      <c r="U42" s="1493"/>
      <c r="V42" s="1493"/>
      <c r="W42" s="1493"/>
      <c r="X42" s="2520"/>
      <c r="Y42" s="50"/>
      <c r="Z42" s="50"/>
      <c r="AA42" s="411"/>
      <c r="AB42" s="50"/>
      <c r="AC42" s="411"/>
      <c r="AD42" s="50"/>
      <c r="AE42" s="411"/>
      <c r="AF42" s="50"/>
      <c r="AG42" s="411"/>
      <c r="AH42" s="50"/>
      <c r="AI42" s="411"/>
      <c r="AJ42" s="50"/>
      <c r="AK42" s="411"/>
      <c r="AL42" s="50"/>
      <c r="AM42" s="411"/>
      <c r="AN42" s="50"/>
      <c r="AO42" s="411"/>
      <c r="AP42" s="50"/>
      <c r="AQ42" s="411"/>
      <c r="AR42" s="50"/>
      <c r="AS42" s="411"/>
      <c r="AT42" s="50"/>
      <c r="AU42" s="411"/>
      <c r="AV42" s="50"/>
      <c r="AW42" s="411"/>
      <c r="AX42" s="50"/>
      <c r="AY42" s="411"/>
      <c r="AZ42" s="2520"/>
      <c r="BA42" s="1493"/>
      <c r="BB42" s="1493"/>
      <c r="BC42" s="2520"/>
      <c r="BD42" s="2520"/>
      <c r="BE42" s="412"/>
      <c r="BF42" s="2520"/>
      <c r="BG42" s="643"/>
      <c r="BH42" s="2520"/>
      <c r="BI42" s="643"/>
      <c r="BJ42" s="50"/>
    </row>
    <row r="43" spans="1:62" ht="146.25" customHeight="1" thickBot="1" x14ac:dyDescent="0.25">
      <c r="A43" s="4651"/>
      <c r="B43" s="4744"/>
      <c r="C43" s="3415"/>
      <c r="D43" s="3417"/>
      <c r="E43" s="3412"/>
      <c r="F43" s="3413"/>
      <c r="G43" s="2097">
        <v>213</v>
      </c>
      <c r="H43" s="2130" t="s">
        <v>2100</v>
      </c>
      <c r="I43" s="2097" t="s">
        <v>453</v>
      </c>
      <c r="J43" s="2097">
        <v>12</v>
      </c>
      <c r="K43" s="2094">
        <v>11</v>
      </c>
      <c r="L43" s="2097"/>
      <c r="M43" s="2097">
        <v>166</v>
      </c>
      <c r="N43" s="2130" t="s">
        <v>2101</v>
      </c>
      <c r="O43" s="2435">
        <v>1</v>
      </c>
      <c r="P43" s="2534">
        <f>230048382-12079175</f>
        <v>217969207</v>
      </c>
      <c r="Q43" s="2534">
        <f>P43</f>
        <v>217969207</v>
      </c>
      <c r="R43" s="2401" t="s">
        <v>2102</v>
      </c>
      <c r="S43" s="2544" t="s">
        <v>2103</v>
      </c>
      <c r="T43" s="2130" t="s">
        <v>2100</v>
      </c>
      <c r="U43" s="2527">
        <v>217969207</v>
      </c>
      <c r="V43" s="2448">
        <v>212093674</v>
      </c>
      <c r="W43" s="2448">
        <v>212093674</v>
      </c>
      <c r="X43" s="2138">
        <v>54</v>
      </c>
      <c r="Y43" s="2427" t="s">
        <v>2022</v>
      </c>
      <c r="Z43" s="2100">
        <v>3525</v>
      </c>
      <c r="AA43" s="2094">
        <v>64149</v>
      </c>
      <c r="AB43" s="2100">
        <v>17139</v>
      </c>
      <c r="AC43" s="2094">
        <v>72224</v>
      </c>
      <c r="AD43" s="2100">
        <v>4167</v>
      </c>
      <c r="AE43" s="2094">
        <v>27477</v>
      </c>
      <c r="AF43" s="2100">
        <v>0</v>
      </c>
      <c r="AG43" s="2094">
        <v>86843</v>
      </c>
      <c r="AH43" s="1593"/>
      <c r="AI43" s="2094">
        <v>86843</v>
      </c>
      <c r="AJ43" s="1593"/>
      <c r="AK43" s="2094">
        <v>236429</v>
      </c>
      <c r="AL43" s="2100">
        <v>718</v>
      </c>
      <c r="AM43" s="2094">
        <v>81666</v>
      </c>
      <c r="AN43" s="1593"/>
      <c r="AO43" s="2533"/>
      <c r="AP43" s="1593"/>
      <c r="AQ43" s="2533"/>
      <c r="AR43" s="1593"/>
      <c r="AS43" s="2533"/>
      <c r="AT43" s="1593"/>
      <c r="AU43" s="2533"/>
      <c r="AV43" s="2100">
        <v>27</v>
      </c>
      <c r="AW43" s="2094"/>
      <c r="AX43" s="1597"/>
      <c r="AY43" s="1612"/>
      <c r="AZ43" s="2097"/>
      <c r="BA43" s="2534">
        <v>212093674</v>
      </c>
      <c r="BB43" s="2534">
        <v>212093674</v>
      </c>
      <c r="BC43" s="2097">
        <v>100</v>
      </c>
      <c r="BD43" s="2097" t="s">
        <v>2022</v>
      </c>
      <c r="BE43" s="2130" t="s">
        <v>2104</v>
      </c>
      <c r="BF43" s="2528">
        <v>42370</v>
      </c>
      <c r="BG43" s="2529">
        <v>42695</v>
      </c>
      <c r="BH43" s="2528">
        <v>42735</v>
      </c>
      <c r="BI43" s="2529">
        <v>42735</v>
      </c>
      <c r="BJ43" s="1598" t="s">
        <v>2025</v>
      </c>
    </row>
    <row r="44" spans="1:62" s="680" customFormat="1" ht="15.75" thickBot="1" x14ac:dyDescent="0.3">
      <c r="A44" s="4691" t="s">
        <v>119</v>
      </c>
      <c r="B44" s="4692"/>
      <c r="C44" s="4692"/>
      <c r="D44" s="4692"/>
      <c r="E44" s="4692"/>
      <c r="F44" s="4692"/>
      <c r="G44" s="4692"/>
      <c r="H44" s="4692"/>
      <c r="I44" s="4692"/>
      <c r="J44" s="4692"/>
      <c r="K44" s="4692"/>
      <c r="L44" s="4692"/>
      <c r="M44" s="4692"/>
      <c r="N44" s="4692"/>
      <c r="O44" s="4692"/>
      <c r="P44" s="1819">
        <f>SUM(P12:P43)</f>
        <v>1167636075.6399999</v>
      </c>
      <c r="Q44" s="1820">
        <f>SUM(Q12:Q43)</f>
        <v>1167636075.6399999</v>
      </c>
      <c r="R44" s="1615"/>
      <c r="S44" s="1616"/>
      <c r="T44" s="1617"/>
      <c r="U44" s="1817">
        <f>SUM(U11:U43)</f>
        <v>1167636076</v>
      </c>
      <c r="V44" s="1818">
        <f>SUM(V11:V43)</f>
        <v>921459552</v>
      </c>
      <c r="W44" s="1818">
        <f>SUM(W11:W43)</f>
        <v>921459552</v>
      </c>
      <c r="X44" s="2549"/>
      <c r="Y44" s="1599"/>
      <c r="Z44" s="1599"/>
      <c r="AA44" s="1611"/>
      <c r="AB44" s="1599"/>
      <c r="AC44" s="1611"/>
      <c r="AD44" s="1599"/>
      <c r="AE44" s="1611"/>
      <c r="AF44" s="1599"/>
      <c r="AG44" s="1611"/>
      <c r="AH44" s="1599"/>
      <c r="AI44" s="1611"/>
      <c r="AJ44" s="1599"/>
      <c r="AK44" s="1611"/>
      <c r="AL44" s="1599"/>
      <c r="AM44" s="1611"/>
      <c r="AN44" s="1599"/>
      <c r="AO44" s="1611"/>
      <c r="AP44" s="1599"/>
      <c r="AQ44" s="1611"/>
      <c r="AR44" s="1599"/>
      <c r="AS44" s="1611"/>
      <c r="AT44" s="1599"/>
      <c r="AU44" s="1611"/>
      <c r="AV44" s="1599"/>
      <c r="AW44" s="1611"/>
      <c r="AX44" s="1599"/>
      <c r="AY44" s="1611"/>
      <c r="AZ44" s="2550"/>
      <c r="BA44" s="1620">
        <f>SUM(BA12:BA43)</f>
        <v>921459552</v>
      </c>
      <c r="BB44" s="1620">
        <f>SUM(BB12:BB43)</f>
        <v>921459552</v>
      </c>
      <c r="BC44" s="2550"/>
      <c r="BD44" s="2550"/>
      <c r="BE44" s="1616"/>
      <c r="BF44" s="2550"/>
      <c r="BG44" s="230"/>
      <c r="BH44" s="2550"/>
      <c r="BI44" s="230"/>
      <c r="BJ44" s="1600"/>
    </row>
    <row r="45" spans="1:62" x14ac:dyDescent="0.2">
      <c r="P45" s="1601"/>
      <c r="U45" s="1602"/>
      <c r="V45" s="1602"/>
    </row>
    <row r="46" spans="1:62" x14ac:dyDescent="0.2">
      <c r="Q46" s="1601"/>
      <c r="R46" s="1618"/>
      <c r="W46" s="1608"/>
    </row>
    <row r="47" spans="1:62" x14ac:dyDescent="0.2">
      <c r="U47" s="1603"/>
      <c r="V47" s="1603"/>
    </row>
    <row r="48" spans="1:62" x14ac:dyDescent="0.2">
      <c r="U48" s="1603"/>
      <c r="V48" s="1603"/>
    </row>
    <row r="49" spans="8:24" x14ac:dyDescent="0.2">
      <c r="U49" s="1603"/>
      <c r="V49" s="1603"/>
    </row>
    <row r="50" spans="8:24" x14ac:dyDescent="0.2">
      <c r="U50" s="1821"/>
      <c r="V50" s="1821"/>
      <c r="W50" s="1821"/>
    </row>
    <row r="51" spans="8:24" x14ac:dyDescent="0.2">
      <c r="P51" s="1604"/>
      <c r="Q51" s="1604"/>
    </row>
    <row r="53" spans="8:24" ht="15" x14ac:dyDescent="0.25">
      <c r="H53" s="1538" t="s">
        <v>2105</v>
      </c>
      <c r="I53" s="1605"/>
      <c r="J53" s="1605"/>
      <c r="K53" s="1075"/>
    </row>
    <row r="54" spans="8:24" x14ac:dyDescent="0.2">
      <c r="H54" s="20" t="s">
        <v>2106</v>
      </c>
    </row>
    <row r="57" spans="8:24" x14ac:dyDescent="0.2">
      <c r="U57" s="1603"/>
      <c r="V57" s="1603"/>
    </row>
    <row r="58" spans="8:24" ht="15" x14ac:dyDescent="0.2">
      <c r="R58" s="1619"/>
      <c r="S58" s="1619"/>
      <c r="T58" s="1619"/>
      <c r="W58" s="1609"/>
      <c r="X58" s="2079"/>
    </row>
    <row r="59" spans="8:24" ht="15" x14ac:dyDescent="0.2">
      <c r="R59" s="1619"/>
      <c r="S59" s="1619"/>
      <c r="T59" s="1619"/>
      <c r="U59" s="1603"/>
      <c r="V59" s="1603"/>
      <c r="W59" s="1609"/>
      <c r="X59" s="2079"/>
    </row>
    <row r="60" spans="8:24" ht="15" x14ac:dyDescent="0.2">
      <c r="R60" s="1619"/>
      <c r="S60" s="1619"/>
      <c r="T60" s="1619"/>
      <c r="W60" s="1609"/>
      <c r="X60" s="2079"/>
    </row>
    <row r="61" spans="8:24" ht="15" x14ac:dyDescent="0.2">
      <c r="R61" s="1619"/>
      <c r="S61" s="1619"/>
      <c r="T61" s="1619"/>
      <c r="U61" s="1602"/>
      <c r="V61" s="1602"/>
      <c r="W61" s="1609"/>
      <c r="X61" s="2079"/>
    </row>
    <row r="62" spans="8:24" ht="15" x14ac:dyDescent="0.2">
      <c r="R62" s="1619"/>
      <c r="S62" s="1619"/>
      <c r="T62" s="1619"/>
      <c r="U62" s="1606"/>
      <c r="V62" s="1606"/>
      <c r="W62" s="1609"/>
      <c r="X62" s="2079"/>
    </row>
    <row r="63" spans="8:24" ht="15" x14ac:dyDescent="0.2">
      <c r="R63" s="1619"/>
      <c r="S63" s="1619"/>
      <c r="T63" s="1619"/>
      <c r="U63" s="1606"/>
      <c r="V63" s="1606"/>
      <c r="W63" s="1609"/>
      <c r="X63" s="2079"/>
    </row>
    <row r="64" spans="8:24" ht="15" x14ac:dyDescent="0.2">
      <c r="R64" s="1619"/>
      <c r="S64" s="1619"/>
      <c r="T64" s="1619"/>
      <c r="U64" s="1606"/>
      <c r="V64" s="1606"/>
      <c r="W64" s="1609"/>
      <c r="X64" s="2079"/>
    </row>
    <row r="65" spans="18:24" ht="15" x14ac:dyDescent="0.2">
      <c r="R65" s="1619"/>
      <c r="S65" s="1619"/>
      <c r="T65" s="1619"/>
      <c r="U65" s="1606"/>
      <c r="V65" s="1606"/>
      <c r="W65" s="1609"/>
      <c r="X65" s="2079"/>
    </row>
    <row r="66" spans="18:24" ht="15" x14ac:dyDescent="0.2">
      <c r="R66" s="1619"/>
      <c r="S66" s="1619"/>
      <c r="T66" s="1619"/>
      <c r="U66" s="1606"/>
      <c r="V66" s="1606"/>
      <c r="W66" s="1609"/>
      <c r="X66" s="2079"/>
    </row>
    <row r="67" spans="18:24" ht="15" x14ac:dyDescent="0.2">
      <c r="R67" s="1619"/>
      <c r="S67" s="1619"/>
      <c r="T67" s="1619"/>
      <c r="U67" s="1606"/>
      <c r="V67" s="1606"/>
      <c r="W67" s="1609"/>
      <c r="X67" s="2079"/>
    </row>
    <row r="68" spans="18:24" ht="15" x14ac:dyDescent="0.2">
      <c r="R68" s="1619"/>
      <c r="S68" s="1619"/>
      <c r="T68" s="1619"/>
      <c r="U68" s="1606"/>
      <c r="V68" s="1606"/>
      <c r="W68" s="1609"/>
      <c r="X68" s="2079"/>
    </row>
  </sheetData>
  <mergeCells count="388">
    <mergeCell ref="AZ29:AZ31"/>
    <mergeCell ref="BC30:BC31"/>
    <mergeCell ref="BD30:BD31"/>
    <mergeCell ref="A5:M6"/>
    <mergeCell ref="Q6:AB6"/>
    <mergeCell ref="AC6:AZ6"/>
    <mergeCell ref="BJ25:BJ26"/>
    <mergeCell ref="BA25:BA26"/>
    <mergeCell ref="BC25:BC26"/>
    <mergeCell ref="BD25:BD26"/>
    <mergeCell ref="BE25:BE26"/>
    <mergeCell ref="BF25:BF26"/>
    <mergeCell ref="BG25:BG26"/>
    <mergeCell ref="BH25:BH26"/>
    <mergeCell ref="BI25:BI26"/>
    <mergeCell ref="AQ25:AQ26"/>
    <mergeCell ref="AR25:AR26"/>
    <mergeCell ref="AS25:AS26"/>
    <mergeCell ref="AT25:AT26"/>
    <mergeCell ref="AU25:AU26"/>
    <mergeCell ref="AV25:AV26"/>
    <mergeCell ref="Q7:Q8"/>
    <mergeCell ref="R7:R8"/>
    <mergeCell ref="X7:X8"/>
    <mergeCell ref="Y7:Y8"/>
    <mergeCell ref="S7:S8"/>
    <mergeCell ref="T7:T8"/>
    <mergeCell ref="AW25:AW26"/>
    <mergeCell ref="AX25:AX26"/>
    <mergeCell ref="AY25:AY26"/>
    <mergeCell ref="AH25:AH26"/>
    <mergeCell ref="AI25:AI26"/>
    <mergeCell ref="AJ25:AJ26"/>
    <mergeCell ref="AK25:AK26"/>
    <mergeCell ref="AL25:AL26"/>
    <mergeCell ref="AM25:AM26"/>
    <mergeCell ref="AN25:AN26"/>
    <mergeCell ref="AO25:AO26"/>
    <mergeCell ref="AP25:AP26"/>
    <mergeCell ref="AC12:AC16"/>
    <mergeCell ref="AF12:AF16"/>
    <mergeCell ref="AG12:AG16"/>
    <mergeCell ref="AH12:AH16"/>
    <mergeCell ref="AD12:AD16"/>
    <mergeCell ref="AE12:AE16"/>
    <mergeCell ref="U12:U14"/>
    <mergeCell ref="X12:X14"/>
    <mergeCell ref="Y12:Y14"/>
    <mergeCell ref="A10:B43"/>
    <mergeCell ref="C11:D31"/>
    <mergeCell ref="E12:F21"/>
    <mergeCell ref="G12:G15"/>
    <mergeCell ref="H12:H15"/>
    <mergeCell ref="I12:I15"/>
    <mergeCell ref="AZ7:AZ8"/>
    <mergeCell ref="BA7:BA8"/>
    <mergeCell ref="BB7:BB8"/>
    <mergeCell ref="AN7:AO7"/>
    <mergeCell ref="AP7:AQ7"/>
    <mergeCell ref="AR7:AS7"/>
    <mergeCell ref="AT7:AU7"/>
    <mergeCell ref="AV7:AW7"/>
    <mergeCell ref="AX7:AY7"/>
    <mergeCell ref="R12:R16"/>
    <mergeCell ref="S12:S15"/>
    <mergeCell ref="J12:J15"/>
    <mergeCell ref="AQ12:AQ16"/>
    <mergeCell ref="P7:P8"/>
    <mergeCell ref="U7:W7"/>
    <mergeCell ref="Z7:AA7"/>
    <mergeCell ref="AB7:AC7"/>
    <mergeCell ref="AD7:AE7"/>
    <mergeCell ref="BF7:BG7"/>
    <mergeCell ref="BH7:BI7"/>
    <mergeCell ref="BC7:BC8"/>
    <mergeCell ref="BD7:BD8"/>
    <mergeCell ref="BE7:BE8"/>
    <mergeCell ref="AF7:AG7"/>
    <mergeCell ref="AH7:AI7"/>
    <mergeCell ref="AJ7:AK7"/>
    <mergeCell ref="AL7:AM7"/>
    <mergeCell ref="AA12:AA16"/>
    <mergeCell ref="AB12:AB16"/>
    <mergeCell ref="BF12:BF16"/>
    <mergeCell ref="BG12:BG16"/>
    <mergeCell ref="AI12:AI16"/>
    <mergeCell ref="AJ12:AJ16"/>
    <mergeCell ref="W12:W14"/>
    <mergeCell ref="BH12:BH16"/>
    <mergeCell ref="AP12:AP16"/>
    <mergeCell ref="K12:K15"/>
    <mergeCell ref="L12:L15"/>
    <mergeCell ref="M12:M16"/>
    <mergeCell ref="N12:N16"/>
    <mergeCell ref="O12:O15"/>
    <mergeCell ref="AO17:AO18"/>
    <mergeCell ref="O17:O18"/>
    <mergeCell ref="P17:P18"/>
    <mergeCell ref="BE12:BE16"/>
    <mergeCell ref="AR12:AR16"/>
    <mergeCell ref="AS12:AS16"/>
    <mergeCell ref="AT12:AT16"/>
    <mergeCell ref="AU12:AU16"/>
    <mergeCell ref="AV12:AV16"/>
    <mergeCell ref="AK12:AK16"/>
    <mergeCell ref="AL12:AL16"/>
    <mergeCell ref="T17:T18"/>
    <mergeCell ref="Z17:Z18"/>
    <mergeCell ref="AB17:AB18"/>
    <mergeCell ref="T12:T15"/>
    <mergeCell ref="AM12:AM16"/>
    <mergeCell ref="AN12:AN16"/>
    <mergeCell ref="AO12:AO16"/>
    <mergeCell ref="Z12:Z16"/>
    <mergeCell ref="BJ12:BJ16"/>
    <mergeCell ref="AW12:AW16"/>
    <mergeCell ref="AX12:AX16"/>
    <mergeCell ref="AY12:AY16"/>
    <mergeCell ref="AZ12:AZ16"/>
    <mergeCell ref="BC12:BC16"/>
    <mergeCell ref="BD12:BD16"/>
    <mergeCell ref="BB12:BB14"/>
    <mergeCell ref="BA12:BA14"/>
    <mergeCell ref="BI12:BI16"/>
    <mergeCell ref="AK19:AK20"/>
    <mergeCell ref="AL19:AL20"/>
    <mergeCell ref="AM19:AM20"/>
    <mergeCell ref="BJ17:BJ18"/>
    <mergeCell ref="G19:G20"/>
    <mergeCell ref="H19:H20"/>
    <mergeCell ref="I19:I20"/>
    <mergeCell ref="J19:J20"/>
    <mergeCell ref="K19:K20"/>
    <mergeCell ref="AX17:AX18"/>
    <mergeCell ref="AY17:AY18"/>
    <mergeCell ref="AZ17:AZ18"/>
    <mergeCell ref="BC17:BC18"/>
    <mergeCell ref="BD17:BD18"/>
    <mergeCell ref="BE17:BE18"/>
    <mergeCell ref="AR17:AR18"/>
    <mergeCell ref="AS17:AS18"/>
    <mergeCell ref="AT17:AT18"/>
    <mergeCell ref="AU17:AU18"/>
    <mergeCell ref="AV17:AV18"/>
    <mergeCell ref="AW17:AW18"/>
    <mergeCell ref="AL17:AL18"/>
    <mergeCell ref="AM17:AM18"/>
    <mergeCell ref="AN17:AN18"/>
    <mergeCell ref="BH17:BH18"/>
    <mergeCell ref="BI17:BI18"/>
    <mergeCell ref="Q17:Q18"/>
    <mergeCell ref="R17:R21"/>
    <mergeCell ref="S17:S20"/>
    <mergeCell ref="Z19:Z20"/>
    <mergeCell ref="AA19:AA20"/>
    <mergeCell ref="AB19:AB20"/>
    <mergeCell ref="AC19:AC20"/>
    <mergeCell ref="AP19:AP20"/>
    <mergeCell ref="BF17:BF18"/>
    <mergeCell ref="BG17:BG18"/>
    <mergeCell ref="AP17:AP18"/>
    <mergeCell ref="AQ17:AQ18"/>
    <mergeCell ref="AF17:AF18"/>
    <mergeCell ref="AG17:AG18"/>
    <mergeCell ref="AH17:AH18"/>
    <mergeCell ref="AI17:AI18"/>
    <mergeCell ref="AJ17:AJ18"/>
    <mergeCell ref="AK17:AK18"/>
    <mergeCell ref="AJ19:AJ20"/>
    <mergeCell ref="AC17:AC18"/>
    <mergeCell ref="AD17:AD18"/>
    <mergeCell ref="AE17:AE18"/>
    <mergeCell ref="N17:N18"/>
    <mergeCell ref="BJ19:BJ20"/>
    <mergeCell ref="E23:F23"/>
    <mergeCell ref="E25:F26"/>
    <mergeCell ref="M25:M26"/>
    <mergeCell ref="N25:N26"/>
    <mergeCell ref="BC19:BC20"/>
    <mergeCell ref="BE19:BE20"/>
    <mergeCell ref="BF19:BF20"/>
    <mergeCell ref="BG19:BG20"/>
    <mergeCell ref="BH19:BH20"/>
    <mergeCell ref="BI19:BI20"/>
    <mergeCell ref="AT19:AT20"/>
    <mergeCell ref="AU19:AU20"/>
    <mergeCell ref="AV19:AV20"/>
    <mergeCell ref="AW19:AW20"/>
    <mergeCell ref="AX19:AX20"/>
    <mergeCell ref="AY19:AY20"/>
    <mergeCell ref="AN19:AN20"/>
    <mergeCell ref="AO19:AO20"/>
    <mergeCell ref="AQ19:AQ20"/>
    <mergeCell ref="AR19:AR20"/>
    <mergeCell ref="AS19:AS20"/>
    <mergeCell ref="AH19:AH20"/>
    <mergeCell ref="AI19:AI20"/>
    <mergeCell ref="AZ25:AZ26"/>
    <mergeCell ref="E29:F31"/>
    <mergeCell ref="M29:M31"/>
    <mergeCell ref="N29:N31"/>
    <mergeCell ref="Q29:Q31"/>
    <mergeCell ref="R29:R31"/>
    <mergeCell ref="O25:O26"/>
    <mergeCell ref="T25:T26"/>
    <mergeCell ref="Z25:Z26"/>
    <mergeCell ref="AA25:AA26"/>
    <mergeCell ref="X29:X31"/>
    <mergeCell ref="Y29:Y31"/>
    <mergeCell ref="Z29:Z31"/>
    <mergeCell ref="AA29:AA31"/>
    <mergeCell ref="AH29:AH31"/>
    <mergeCell ref="AI29:AI31"/>
    <mergeCell ref="G25:G27"/>
    <mergeCell ref="H25:H27"/>
    <mergeCell ref="I25:I27"/>
    <mergeCell ref="J25:J27"/>
    <mergeCell ref="AJ29:AJ31"/>
    <mergeCell ref="AK29:AK31"/>
    <mergeCell ref="AL29:AL31"/>
    <mergeCell ref="AT34:AT36"/>
    <mergeCell ref="AI34:AI36"/>
    <mergeCell ref="AJ34:AJ36"/>
    <mergeCell ref="AK34:AK36"/>
    <mergeCell ref="AL34:AL36"/>
    <mergeCell ref="AM34:AM36"/>
    <mergeCell ref="AN34:AN36"/>
    <mergeCell ref="AD34:AD36"/>
    <mergeCell ref="AE34:AE36"/>
    <mergeCell ref="BJ29:BJ31"/>
    <mergeCell ref="AY29:AY31"/>
    <mergeCell ref="BE29:BE31"/>
    <mergeCell ref="BF29:BF31"/>
    <mergeCell ref="BG29:BG31"/>
    <mergeCell ref="BH29:BH31"/>
    <mergeCell ref="BI29:BI31"/>
    <mergeCell ref="AO29:AO31"/>
    <mergeCell ref="BJ34:BJ36"/>
    <mergeCell ref="BI34:BI37"/>
    <mergeCell ref="BE34:BE36"/>
    <mergeCell ref="BF34:BF37"/>
    <mergeCell ref="BG34:BG37"/>
    <mergeCell ref="BH34:BH37"/>
    <mergeCell ref="AX29:AX31"/>
    <mergeCell ref="AP29:AP31"/>
    <mergeCell ref="AQ29:AQ31"/>
    <mergeCell ref="AR29:AR31"/>
    <mergeCell ref="AS29:AS31"/>
    <mergeCell ref="AT29:AT31"/>
    <mergeCell ref="AU29:AU31"/>
    <mergeCell ref="AV29:AV31"/>
    <mergeCell ref="AW29:AW31"/>
    <mergeCell ref="AS34:AS36"/>
    <mergeCell ref="M19:M20"/>
    <mergeCell ref="N19:N20"/>
    <mergeCell ref="O19:O20"/>
    <mergeCell ref="P19:P20"/>
    <mergeCell ref="Q19:Q20"/>
    <mergeCell ref="S36:S37"/>
    <mergeCell ref="K25:K27"/>
    <mergeCell ref="C33:D39"/>
    <mergeCell ref="E34:F37"/>
    <mergeCell ref="L34:L36"/>
    <mergeCell ref="M34:M36"/>
    <mergeCell ref="N34:N36"/>
    <mergeCell ref="Q34:Q36"/>
    <mergeCell ref="P39:P40"/>
    <mergeCell ref="AJ39:AJ40"/>
    <mergeCell ref="AK39:AK40"/>
    <mergeCell ref="AL39:AL40"/>
    <mergeCell ref="AM39:AM40"/>
    <mergeCell ref="AN39:AN40"/>
    <mergeCell ref="AB29:AB31"/>
    <mergeCell ref="AC29:AC31"/>
    <mergeCell ref="AD29:AD31"/>
    <mergeCell ref="AE29:AE31"/>
    <mergeCell ref="AF29:AF31"/>
    <mergeCell ref="AG29:AG31"/>
    <mergeCell ref="AD39:AD40"/>
    <mergeCell ref="AE39:AE40"/>
    <mergeCell ref="AF39:AF40"/>
    <mergeCell ref="AG39:AG40"/>
    <mergeCell ref="AB25:AB26"/>
    <mergeCell ref="AC25:AC26"/>
    <mergeCell ref="AD25:AD26"/>
    <mergeCell ref="AE25:AE26"/>
    <mergeCell ref="AC39:AC40"/>
    <mergeCell ref="C42:D43"/>
    <mergeCell ref="E43:F43"/>
    <mergeCell ref="Q39:Q40"/>
    <mergeCell ref="R39:R40"/>
    <mergeCell ref="S39:S40"/>
    <mergeCell ref="AO39:AO40"/>
    <mergeCell ref="AP39:AP40"/>
    <mergeCell ref="T39:T40"/>
    <mergeCell ref="Z39:Z40"/>
    <mergeCell ref="AA39:AA40"/>
    <mergeCell ref="AF19:AF20"/>
    <mergeCell ref="AG19:AG20"/>
    <mergeCell ref="R34:R36"/>
    <mergeCell ref="X34:X36"/>
    <mergeCell ref="Y34:Y36"/>
    <mergeCell ref="R25:R26"/>
    <mergeCell ref="S25:S26"/>
    <mergeCell ref="T19:T20"/>
    <mergeCell ref="AD19:AD20"/>
    <mergeCell ref="AF25:AF26"/>
    <mergeCell ref="AG25:AG26"/>
    <mergeCell ref="Z34:Z36"/>
    <mergeCell ref="AA34:AA36"/>
    <mergeCell ref="AB34:AB36"/>
    <mergeCell ref="AC34:AC36"/>
    <mergeCell ref="AE19:AE20"/>
    <mergeCell ref="AB39:AB40"/>
    <mergeCell ref="AM29:AM31"/>
    <mergeCell ref="AN29:AN31"/>
    <mergeCell ref="M7:M8"/>
    <mergeCell ref="N7:N8"/>
    <mergeCell ref="L7:L8"/>
    <mergeCell ref="O7:O8"/>
    <mergeCell ref="J7:K7"/>
    <mergeCell ref="A44:O44"/>
    <mergeCell ref="BD34:BD36"/>
    <mergeCell ref="AU34:AU36"/>
    <mergeCell ref="AV34:AV36"/>
    <mergeCell ref="AW34:AW36"/>
    <mergeCell ref="AX34:AX36"/>
    <mergeCell ref="AY34:AY36"/>
    <mergeCell ref="AZ34:AZ37"/>
    <mergeCell ref="AO34:AO36"/>
    <mergeCell ref="AP34:AP36"/>
    <mergeCell ref="AQ34:AQ36"/>
    <mergeCell ref="AR34:AR36"/>
    <mergeCell ref="AF34:AF36"/>
    <mergeCell ref="AG34:AG36"/>
    <mergeCell ref="AH34:AH36"/>
    <mergeCell ref="E39:F40"/>
    <mergeCell ref="G39:G40"/>
    <mergeCell ref="M39:M40"/>
    <mergeCell ref="O39:O40"/>
    <mergeCell ref="AW39:AW40"/>
    <mergeCell ref="AX39:AX40"/>
    <mergeCell ref="AY39:AY40"/>
    <mergeCell ref="AH39:AH40"/>
    <mergeCell ref="AI39:AI40"/>
    <mergeCell ref="A7:A8"/>
    <mergeCell ref="D7:D8"/>
    <mergeCell ref="G7:G8"/>
    <mergeCell ref="B7:B8"/>
    <mergeCell ref="C7:C8"/>
    <mergeCell ref="E7:E8"/>
    <mergeCell ref="F7:F8"/>
    <mergeCell ref="P25:P26"/>
    <mergeCell ref="Q25:Q26"/>
    <mergeCell ref="G17:G18"/>
    <mergeCell ref="H17:H18"/>
    <mergeCell ref="I17:I18"/>
    <mergeCell ref="J17:J18"/>
    <mergeCell ref="K17:K18"/>
    <mergeCell ref="M17:M18"/>
    <mergeCell ref="P12:P15"/>
    <mergeCell ref="Q12:Q16"/>
    <mergeCell ref="H7:H8"/>
    <mergeCell ref="I7:I8"/>
    <mergeCell ref="A1:BG4"/>
    <mergeCell ref="Q5:BJ5"/>
    <mergeCell ref="BG6:BJ6"/>
    <mergeCell ref="AA17:AA18"/>
    <mergeCell ref="V12:V14"/>
    <mergeCell ref="BI39:BI40"/>
    <mergeCell ref="BJ39:BJ40"/>
    <mergeCell ref="H39:H40"/>
    <mergeCell ref="I39:I40"/>
    <mergeCell ref="J39:J40"/>
    <mergeCell ref="K39:K40"/>
    <mergeCell ref="AZ39:AZ40"/>
    <mergeCell ref="BC39:BC40"/>
    <mergeCell ref="BD39:BD40"/>
    <mergeCell ref="BE39:BE40"/>
    <mergeCell ref="BF39:BF40"/>
    <mergeCell ref="BG39:BG40"/>
    <mergeCell ref="BH39:BH40"/>
    <mergeCell ref="AQ39:AQ40"/>
    <mergeCell ref="AR39:AR40"/>
    <mergeCell ref="AS39:AS40"/>
    <mergeCell ref="AT39:AT40"/>
    <mergeCell ref="AU39:AU40"/>
    <mergeCell ref="AV39:AV40"/>
  </mergeCells>
  <pageMargins left="0.70866141732283472" right="0.70866141732283472" top="0.74803149606299213" bottom="0.74803149606299213" header="0.31496062992125984" footer="0.31496062992125984"/>
  <pageSetup paperSize="5"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L672"/>
  <sheetViews>
    <sheetView zoomScale="60" zoomScaleNormal="60" workbookViewId="0">
      <selection sqref="A1:BF4"/>
    </sheetView>
  </sheetViews>
  <sheetFormatPr baseColWidth="10" defaultColWidth="11.42578125" defaultRowHeight="14.25" x14ac:dyDescent="0.2"/>
  <cols>
    <col min="1" max="1" width="12.7109375" style="4" customWidth="1"/>
    <col min="2" max="2" width="4" style="4" customWidth="1"/>
    <col min="3" max="3" width="19.5703125" style="4" customWidth="1"/>
    <col min="4" max="4" width="12.85546875" style="4" customWidth="1"/>
    <col min="5" max="5" width="7.42578125" style="4" customWidth="1"/>
    <col min="6" max="6" width="14.42578125" style="4" customWidth="1"/>
    <col min="7" max="7" width="13.28515625" style="4" customWidth="1"/>
    <col min="8" max="8" width="8.5703125" style="4" customWidth="1"/>
    <col min="9" max="9" width="16.85546875" style="4" customWidth="1"/>
    <col min="10" max="10" width="13" style="4" customWidth="1"/>
    <col min="11" max="11" width="25.7109375" style="3" customWidth="1"/>
    <col min="12" max="12" width="17" style="3" customWidth="1"/>
    <col min="13" max="13" width="13" style="3" customWidth="1"/>
    <col min="14" max="14" width="13" style="396" customWidth="1"/>
    <col min="15" max="15" width="25.85546875" style="3" customWidth="1"/>
    <col min="16" max="16" width="13.85546875" style="3" customWidth="1"/>
    <col min="17" max="17" width="27.7109375" style="6" customWidth="1"/>
    <col min="18" max="18" width="12.140625" style="414" customWidth="1"/>
    <col min="19" max="19" width="17.85546875" style="3" customWidth="1"/>
    <col min="20" max="20" width="26.7109375" style="1587" customWidth="1"/>
    <col min="21" max="21" width="43.7109375" style="1587" customWidth="1"/>
    <col min="22" max="22" width="27" style="7" customWidth="1"/>
    <col min="23" max="24" width="21.85546875" style="7" customWidth="1"/>
    <col min="25" max="25" width="21.85546875" style="494" customWidth="1"/>
    <col min="26" max="26" width="21.85546875" style="7" customWidth="1"/>
    <col min="27" max="27" width="18.5703125" style="7" customWidth="1"/>
    <col min="28" max="39" width="9.85546875" style="4" customWidth="1"/>
    <col min="40" max="40" width="14.5703125" style="4" customWidth="1"/>
    <col min="41" max="41" width="12.7109375" style="4" customWidth="1"/>
    <col min="42" max="42" width="13.7109375" style="4" customWidth="1"/>
    <col min="43" max="43" width="9.85546875" style="4" customWidth="1"/>
    <col min="44" max="45" width="13.7109375" style="4" customWidth="1"/>
    <col min="46" max="47" width="9.85546875" style="4" customWidth="1"/>
    <col min="48" max="49" width="13.140625" style="4" customWidth="1"/>
    <col min="50" max="51" width="11.7109375" style="4" customWidth="1"/>
    <col min="52" max="52" width="22.7109375" style="1873" customWidth="1"/>
    <col min="53" max="56" width="22.7109375" style="4" customWidth="1"/>
    <col min="57" max="57" width="22.7109375" style="1580" customWidth="1"/>
    <col min="58" max="59" width="22.7109375" style="21" customWidth="1"/>
    <col min="60" max="61" width="22.7109375" style="22" customWidth="1"/>
    <col min="62" max="62" width="28.7109375" style="197" customWidth="1"/>
    <col min="63" max="63" width="21.42578125" style="20" customWidth="1"/>
    <col min="64" max="64" width="15.7109375" style="20" bestFit="1" customWidth="1"/>
    <col min="65" max="16384" width="11.42578125" style="4"/>
  </cols>
  <sheetData>
    <row r="1" spans="1:64" ht="15" customHeight="1"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2742"/>
      <c r="BD1" s="2742"/>
      <c r="BE1" s="2742"/>
      <c r="BF1" s="2742"/>
      <c r="BG1" s="2083"/>
      <c r="BH1" s="4"/>
      <c r="BI1" s="1895" t="s">
        <v>1</v>
      </c>
      <c r="BJ1" s="1895" t="s">
        <v>2</v>
      </c>
      <c r="BK1" s="4"/>
      <c r="BL1" s="4"/>
    </row>
    <row r="2" spans="1:64"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2742"/>
      <c r="BD2" s="2742"/>
      <c r="BE2" s="2742"/>
      <c r="BF2" s="2742"/>
      <c r="BG2" s="2083"/>
      <c r="BH2" s="4"/>
      <c r="BI2" s="1896" t="s">
        <v>3</v>
      </c>
      <c r="BJ2" s="1897">
        <v>5</v>
      </c>
      <c r="BK2" s="4"/>
      <c r="BL2" s="4"/>
    </row>
    <row r="3" spans="1:64"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2742"/>
      <c r="BD3" s="2742"/>
      <c r="BE3" s="2742"/>
      <c r="BF3" s="2742"/>
      <c r="BG3" s="2083"/>
      <c r="BH3" s="4"/>
      <c r="BI3" s="1895" t="s">
        <v>4</v>
      </c>
      <c r="BJ3" s="1898" t="s">
        <v>5</v>
      </c>
      <c r="BK3" s="4"/>
      <c r="BL3" s="4"/>
    </row>
    <row r="4" spans="1:64" s="24" customFormat="1" ht="21"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2743"/>
      <c r="BD4" s="2743"/>
      <c r="BE4" s="2743"/>
      <c r="BF4" s="2743"/>
      <c r="BG4" s="2084"/>
      <c r="BI4" s="679" t="s">
        <v>6</v>
      </c>
      <c r="BJ4" s="1899" t="s">
        <v>7</v>
      </c>
    </row>
    <row r="5" spans="1:64"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c r="BK5" s="4"/>
      <c r="BL5" s="4"/>
    </row>
    <row r="6" spans="1:64"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c r="BK6" s="4"/>
      <c r="BL6" s="4"/>
    </row>
    <row r="7" spans="1:64" ht="28.5" customHeight="1" x14ac:dyDescent="0.2">
      <c r="A7" s="4772" t="s">
        <v>11</v>
      </c>
      <c r="B7" s="4775" t="s">
        <v>12</v>
      </c>
      <c r="C7" s="4776"/>
      <c r="D7" s="4777" t="s">
        <v>11</v>
      </c>
      <c r="E7" s="4775" t="s">
        <v>13</v>
      </c>
      <c r="F7" s="4776"/>
      <c r="G7" s="4777" t="s">
        <v>11</v>
      </c>
      <c r="H7" s="4775" t="s">
        <v>14</v>
      </c>
      <c r="I7" s="4776"/>
      <c r="J7" s="4777" t="s">
        <v>11</v>
      </c>
      <c r="K7" s="4777" t="s">
        <v>15</v>
      </c>
      <c r="L7" s="4777" t="s">
        <v>16</v>
      </c>
      <c r="M7" s="4775" t="s">
        <v>17</v>
      </c>
      <c r="N7" s="4776"/>
      <c r="O7" s="4777" t="s">
        <v>18</v>
      </c>
      <c r="P7" s="4777" t="s">
        <v>11</v>
      </c>
      <c r="Q7" s="4777" t="s">
        <v>9</v>
      </c>
      <c r="R7" s="4777" t="s">
        <v>20</v>
      </c>
      <c r="S7" s="4777" t="s">
        <v>21</v>
      </c>
      <c r="T7" s="4778" t="s">
        <v>22</v>
      </c>
      <c r="U7" s="4778" t="s">
        <v>23</v>
      </c>
      <c r="V7" s="4778" t="s">
        <v>24</v>
      </c>
      <c r="W7" s="4775" t="s">
        <v>21</v>
      </c>
      <c r="X7" s="4780"/>
      <c r="Y7" s="4776"/>
      <c r="Z7" s="4777" t="s">
        <v>11</v>
      </c>
      <c r="AA7" s="4775" t="s">
        <v>25</v>
      </c>
      <c r="AB7" s="3467" t="s">
        <v>26</v>
      </c>
      <c r="AC7" s="3467"/>
      <c r="AD7" s="3467"/>
      <c r="AE7" s="3467"/>
      <c r="AF7" s="3467"/>
      <c r="AG7" s="3467"/>
      <c r="AH7" s="3467"/>
      <c r="AI7" s="3467"/>
      <c r="AJ7" s="3467"/>
      <c r="AK7" s="3467"/>
      <c r="AL7" s="3467"/>
      <c r="AM7" s="3467"/>
      <c r="AN7" s="3467" t="s">
        <v>27</v>
      </c>
      <c r="AO7" s="3467"/>
      <c r="AP7" s="3467"/>
      <c r="AQ7" s="3467"/>
      <c r="AR7" s="3467"/>
      <c r="AS7" s="3467"/>
      <c r="AT7" s="3467"/>
      <c r="AU7" s="3467"/>
      <c r="AV7" s="3467"/>
      <c r="AW7" s="3467"/>
      <c r="AX7" s="3467"/>
      <c r="AY7" s="3467"/>
      <c r="AZ7" s="3009" t="s">
        <v>28</v>
      </c>
      <c r="BA7" s="3010"/>
      <c r="BB7" s="3010"/>
      <c r="BC7" s="3010"/>
      <c r="BD7" s="3010"/>
      <c r="BE7" s="3011"/>
      <c r="BF7" s="3012" t="s">
        <v>29</v>
      </c>
      <c r="BG7" s="3012"/>
      <c r="BH7" s="3012" t="s">
        <v>30</v>
      </c>
      <c r="BI7" s="3012"/>
      <c r="BJ7" s="1530" t="s">
        <v>31</v>
      </c>
    </row>
    <row r="8" spans="1:64" ht="29.25" customHeight="1" x14ac:dyDescent="0.2">
      <c r="A8" s="4773"/>
      <c r="B8" s="2732"/>
      <c r="C8" s="2734"/>
      <c r="D8" s="2736"/>
      <c r="E8" s="2732"/>
      <c r="F8" s="2734"/>
      <c r="G8" s="2736"/>
      <c r="H8" s="2732"/>
      <c r="I8" s="2734"/>
      <c r="J8" s="2736"/>
      <c r="K8" s="2736"/>
      <c r="L8" s="2736"/>
      <c r="M8" s="2732"/>
      <c r="N8" s="2734"/>
      <c r="O8" s="2736"/>
      <c r="P8" s="2736"/>
      <c r="Q8" s="2736"/>
      <c r="R8" s="2736"/>
      <c r="S8" s="2736"/>
      <c r="T8" s="4218"/>
      <c r="U8" s="4218"/>
      <c r="V8" s="4218"/>
      <c r="W8" s="2732"/>
      <c r="X8" s="2733"/>
      <c r="Y8" s="2734"/>
      <c r="Z8" s="2736"/>
      <c r="AA8" s="2732"/>
      <c r="AB8" s="2748" t="s">
        <v>32</v>
      </c>
      <c r="AC8" s="2748"/>
      <c r="AD8" s="3466" t="s">
        <v>33</v>
      </c>
      <c r="AE8" s="3466"/>
      <c r="AF8" s="2748" t="s">
        <v>34</v>
      </c>
      <c r="AG8" s="2748"/>
      <c r="AH8" s="2748" t="s">
        <v>35</v>
      </c>
      <c r="AI8" s="2748"/>
      <c r="AJ8" s="2748" t="s">
        <v>36</v>
      </c>
      <c r="AK8" s="2748"/>
      <c r="AL8" s="2748" t="s">
        <v>37</v>
      </c>
      <c r="AM8" s="2748"/>
      <c r="AN8" s="2748" t="s">
        <v>38</v>
      </c>
      <c r="AO8" s="2748"/>
      <c r="AP8" s="2748" t="s">
        <v>39</v>
      </c>
      <c r="AQ8" s="2748"/>
      <c r="AR8" s="2748" t="s">
        <v>40</v>
      </c>
      <c r="AS8" s="2748"/>
      <c r="AT8" s="2748" t="s">
        <v>41</v>
      </c>
      <c r="AU8" s="2748"/>
      <c r="AV8" s="2748" t="s">
        <v>42</v>
      </c>
      <c r="AW8" s="2748"/>
      <c r="AX8" s="2748" t="s">
        <v>43</v>
      </c>
      <c r="AY8" s="2748"/>
      <c r="AZ8" s="2991" t="s">
        <v>44</v>
      </c>
      <c r="BA8" s="2992" t="s">
        <v>45</v>
      </c>
      <c r="BB8" s="2991" t="s">
        <v>46</v>
      </c>
      <c r="BC8" s="2993" t="s">
        <v>47</v>
      </c>
      <c r="BD8" s="2991" t="s">
        <v>48</v>
      </c>
      <c r="BE8" s="4736" t="s">
        <v>49</v>
      </c>
      <c r="BF8" s="3012"/>
      <c r="BG8" s="3012"/>
      <c r="BH8" s="3012"/>
      <c r="BI8" s="3012"/>
      <c r="BJ8" s="1531"/>
    </row>
    <row r="9" spans="1:64" ht="35.25" customHeight="1" x14ac:dyDescent="0.2">
      <c r="A9" s="4774"/>
      <c r="B9" s="2749"/>
      <c r="C9" s="2750"/>
      <c r="D9" s="2737"/>
      <c r="E9" s="2749"/>
      <c r="F9" s="2750"/>
      <c r="G9" s="2737"/>
      <c r="H9" s="2749"/>
      <c r="I9" s="2750"/>
      <c r="J9" s="2737"/>
      <c r="K9" s="2737"/>
      <c r="L9" s="2737"/>
      <c r="M9" s="2081" t="s">
        <v>50</v>
      </c>
      <c r="N9" s="91" t="s">
        <v>51</v>
      </c>
      <c r="O9" s="2737"/>
      <c r="P9" s="2737"/>
      <c r="Q9" s="2737"/>
      <c r="R9" s="2737"/>
      <c r="S9" s="2737"/>
      <c r="T9" s="4779"/>
      <c r="U9" s="4779"/>
      <c r="V9" s="4779"/>
      <c r="W9" s="896" t="s">
        <v>52</v>
      </c>
      <c r="X9" s="897" t="s">
        <v>53</v>
      </c>
      <c r="Y9" s="897" t="s">
        <v>54</v>
      </c>
      <c r="Z9" s="2737"/>
      <c r="AA9" s="4781"/>
      <c r="AB9" s="2081" t="s">
        <v>50</v>
      </c>
      <c r="AC9" s="91" t="s">
        <v>51</v>
      </c>
      <c r="AD9" s="2081" t="s">
        <v>50</v>
      </c>
      <c r="AE9" s="91" t="s">
        <v>51</v>
      </c>
      <c r="AF9" s="2081" t="s">
        <v>50</v>
      </c>
      <c r="AG9" s="91" t="s">
        <v>51</v>
      </c>
      <c r="AH9" s="2081" t="s">
        <v>50</v>
      </c>
      <c r="AI9" s="91" t="s">
        <v>51</v>
      </c>
      <c r="AJ9" s="2081" t="s">
        <v>50</v>
      </c>
      <c r="AK9" s="91" t="s">
        <v>51</v>
      </c>
      <c r="AL9" s="2081" t="s">
        <v>50</v>
      </c>
      <c r="AM9" s="91" t="s">
        <v>51</v>
      </c>
      <c r="AN9" s="2081" t="s">
        <v>50</v>
      </c>
      <c r="AO9" s="91" t="s">
        <v>51</v>
      </c>
      <c r="AP9" s="2081" t="s">
        <v>50</v>
      </c>
      <c r="AQ9" s="91" t="s">
        <v>51</v>
      </c>
      <c r="AR9" s="2081" t="s">
        <v>50</v>
      </c>
      <c r="AS9" s="91" t="s">
        <v>51</v>
      </c>
      <c r="AT9" s="2081" t="s">
        <v>50</v>
      </c>
      <c r="AU9" s="91" t="s">
        <v>51</v>
      </c>
      <c r="AV9" s="2081" t="s">
        <v>50</v>
      </c>
      <c r="AW9" s="91" t="s">
        <v>51</v>
      </c>
      <c r="AX9" s="2081" t="s">
        <v>50</v>
      </c>
      <c r="AY9" s="91" t="s">
        <v>51</v>
      </c>
      <c r="AZ9" s="2991"/>
      <c r="BA9" s="2992"/>
      <c r="BB9" s="2991"/>
      <c r="BC9" s="2994"/>
      <c r="BD9" s="2991"/>
      <c r="BE9" s="4737"/>
      <c r="BF9" s="2188" t="s">
        <v>50</v>
      </c>
      <c r="BG9" s="116" t="s">
        <v>51</v>
      </c>
      <c r="BH9" s="2188" t="s">
        <v>50</v>
      </c>
      <c r="BI9" s="116" t="s">
        <v>51</v>
      </c>
      <c r="BJ9" s="1531"/>
    </row>
    <row r="10" spans="1:64" ht="27.75" customHeight="1" x14ac:dyDescent="0.2">
      <c r="A10" s="1840">
        <v>2</v>
      </c>
      <c r="B10" s="4762" t="s">
        <v>801</v>
      </c>
      <c r="C10" s="4763"/>
      <c r="D10" s="4764"/>
      <c r="E10" s="4764"/>
      <c r="F10" s="4764"/>
      <c r="G10" s="4764"/>
      <c r="H10" s="4764"/>
      <c r="I10" s="4764"/>
      <c r="J10" s="4764"/>
      <c r="K10" s="4764"/>
      <c r="L10" s="4764"/>
      <c r="M10" s="4764"/>
      <c r="N10" s="4764"/>
      <c r="O10" s="4764"/>
      <c r="P10" s="4764"/>
      <c r="Q10" s="4764"/>
      <c r="R10" s="4764"/>
      <c r="S10" s="4764"/>
      <c r="T10" s="4764"/>
      <c r="U10" s="4764"/>
      <c r="V10" s="4764"/>
      <c r="W10" s="4764"/>
      <c r="X10" s="4764"/>
      <c r="Y10" s="4764"/>
      <c r="Z10" s="4764"/>
      <c r="AA10" s="4764"/>
      <c r="AB10" s="4764"/>
      <c r="AC10" s="4764"/>
      <c r="AD10" s="4764"/>
      <c r="AE10" s="4764"/>
      <c r="AF10" s="4764"/>
      <c r="AG10" s="4764"/>
      <c r="AH10" s="4764"/>
      <c r="AI10" s="4764"/>
      <c r="AJ10" s="4764"/>
      <c r="AK10" s="4764"/>
      <c r="AL10" s="4764"/>
      <c r="AM10" s="4764"/>
      <c r="AN10" s="4764"/>
      <c r="AO10" s="4764"/>
      <c r="AP10" s="4764"/>
      <c r="AQ10" s="4764"/>
      <c r="AR10" s="4764"/>
      <c r="AS10" s="4764"/>
      <c r="AT10" s="4764"/>
      <c r="AU10" s="4764"/>
      <c r="AV10" s="4764"/>
      <c r="AW10" s="4764"/>
      <c r="AX10" s="4764"/>
      <c r="AY10" s="4764"/>
      <c r="AZ10" s="4764"/>
      <c r="BA10" s="4764"/>
      <c r="BB10" s="4764"/>
      <c r="BC10" s="4764"/>
      <c r="BD10" s="4764"/>
      <c r="BE10" s="4764"/>
      <c r="BF10" s="4764"/>
      <c r="BG10" s="4764"/>
      <c r="BH10" s="4764"/>
      <c r="BI10" s="4764"/>
      <c r="BJ10" s="4765"/>
    </row>
    <row r="11" spans="1:64" ht="27.75" customHeight="1" x14ac:dyDescent="0.2">
      <c r="A11" s="1836"/>
      <c r="B11" s="4766"/>
      <c r="C11" s="4767"/>
      <c r="D11" s="1839">
        <v>4</v>
      </c>
      <c r="E11" s="4768" t="s">
        <v>2107</v>
      </c>
      <c r="F11" s="4769"/>
      <c r="G11" s="4770"/>
      <c r="H11" s="4770"/>
      <c r="I11" s="4770"/>
      <c r="J11" s="4770"/>
      <c r="K11" s="4770"/>
      <c r="L11" s="4770"/>
      <c r="M11" s="4770"/>
      <c r="N11" s="4770"/>
      <c r="O11" s="4770"/>
      <c r="P11" s="4770"/>
      <c r="Q11" s="4770"/>
      <c r="R11" s="4770"/>
      <c r="S11" s="4770"/>
      <c r="T11" s="4770"/>
      <c r="U11" s="4770"/>
      <c r="V11" s="4770"/>
      <c r="W11" s="4770"/>
      <c r="X11" s="4770"/>
      <c r="Y11" s="4770"/>
      <c r="Z11" s="4770"/>
      <c r="AA11" s="4770"/>
      <c r="AB11" s="4770"/>
      <c r="AC11" s="4770"/>
      <c r="AD11" s="4770"/>
      <c r="AE11" s="4770"/>
      <c r="AF11" s="4770"/>
      <c r="AG11" s="4770"/>
      <c r="AH11" s="4770"/>
      <c r="AI11" s="4770"/>
      <c r="AJ11" s="4770"/>
      <c r="AK11" s="4770"/>
      <c r="AL11" s="4770"/>
      <c r="AM11" s="4770"/>
      <c r="AN11" s="4770"/>
      <c r="AO11" s="4770"/>
      <c r="AP11" s="4770"/>
      <c r="AQ11" s="4770"/>
      <c r="AR11" s="4770"/>
      <c r="AS11" s="4770"/>
      <c r="AT11" s="4770"/>
      <c r="AU11" s="4770"/>
      <c r="AV11" s="4770"/>
      <c r="AW11" s="4770"/>
      <c r="AX11" s="4770"/>
      <c r="AY11" s="4770"/>
      <c r="AZ11" s="4770"/>
      <c r="BA11" s="4770"/>
      <c r="BB11" s="4770"/>
      <c r="BC11" s="4770"/>
      <c r="BD11" s="4770"/>
      <c r="BE11" s="4770"/>
      <c r="BF11" s="4770"/>
      <c r="BG11" s="4770"/>
      <c r="BH11" s="4770"/>
      <c r="BI11" s="4770"/>
      <c r="BJ11" s="4771"/>
    </row>
    <row r="12" spans="1:64" ht="15" x14ac:dyDescent="0.2">
      <c r="A12" s="1841"/>
      <c r="B12" s="931"/>
      <c r="C12" s="932"/>
      <c r="D12" s="1842"/>
      <c r="E12" s="928"/>
      <c r="F12" s="929"/>
      <c r="G12" s="2559">
        <v>14</v>
      </c>
      <c r="H12" s="4783" t="s">
        <v>2108</v>
      </c>
      <c r="I12" s="4784"/>
      <c r="J12" s="4784"/>
      <c r="K12" s="4784"/>
      <c r="L12" s="4785"/>
      <c r="M12" s="4783"/>
      <c r="N12" s="4784"/>
      <c r="O12" s="4784"/>
      <c r="P12" s="4782"/>
      <c r="Q12" s="4782"/>
      <c r="R12" s="4782"/>
      <c r="S12" s="4782"/>
      <c r="T12" s="4782"/>
      <c r="U12" s="4782"/>
      <c r="V12" s="4782"/>
      <c r="W12" s="4782"/>
      <c r="X12" s="4782"/>
      <c r="Y12" s="4782"/>
      <c r="Z12" s="4782"/>
      <c r="AA12" s="4782"/>
      <c r="AB12" s="1823"/>
      <c r="AC12" s="1823"/>
      <c r="AD12" s="1823"/>
      <c r="AE12" s="1823"/>
      <c r="AF12" s="1823"/>
      <c r="AG12" s="1823"/>
      <c r="AH12" s="1823"/>
      <c r="AI12" s="1823"/>
      <c r="AJ12" s="1823"/>
      <c r="AK12" s="1823"/>
      <c r="AL12" s="1823"/>
      <c r="AM12" s="1823"/>
      <c r="AN12" s="1823"/>
      <c r="AO12" s="1823"/>
      <c r="AP12" s="1823"/>
      <c r="AQ12" s="1823"/>
      <c r="AR12" s="1823"/>
      <c r="AS12" s="1823"/>
      <c r="AT12" s="1823"/>
      <c r="AU12" s="1823"/>
      <c r="AV12" s="1823"/>
      <c r="AW12" s="1823"/>
      <c r="AX12" s="1823"/>
      <c r="AY12" s="1823"/>
      <c r="AZ12" s="2558"/>
      <c r="BA12" s="1823"/>
      <c r="BB12" s="1823"/>
      <c r="BC12" s="1823"/>
      <c r="BD12" s="1823"/>
      <c r="BE12" s="1823"/>
      <c r="BF12" s="1823"/>
      <c r="BG12" s="1823"/>
      <c r="BH12" s="1823"/>
      <c r="BI12" s="1823"/>
      <c r="BJ12" s="1824"/>
    </row>
    <row r="13" spans="1:64" s="20" customFormat="1" ht="129" customHeight="1" x14ac:dyDescent="0.2">
      <c r="A13" s="1841"/>
      <c r="B13" s="931"/>
      <c r="C13" s="932"/>
      <c r="D13" s="1841"/>
      <c r="E13" s="689"/>
      <c r="F13" s="932"/>
      <c r="G13" s="1837"/>
      <c r="H13" s="2543"/>
      <c r="I13" s="2543"/>
      <c r="J13" s="2099">
        <v>54</v>
      </c>
      <c r="K13" s="2200" t="s">
        <v>343</v>
      </c>
      <c r="L13" s="2543" t="s">
        <v>2109</v>
      </c>
      <c r="M13" s="2137">
        <v>130</v>
      </c>
      <c r="N13" s="2096">
        <v>8</v>
      </c>
      <c r="O13" s="1532" t="s">
        <v>2110</v>
      </c>
      <c r="P13" s="2098">
        <v>171</v>
      </c>
      <c r="Q13" s="2195" t="s">
        <v>2111</v>
      </c>
      <c r="R13" s="2132">
        <f>+W13/1793040000</f>
        <v>9.3254022542720735E-2</v>
      </c>
      <c r="S13" s="4799">
        <v>1793040000</v>
      </c>
      <c r="T13" s="1829" t="s">
        <v>2112</v>
      </c>
      <c r="U13" s="1822" t="s">
        <v>2113</v>
      </c>
      <c r="V13" s="2196" t="s">
        <v>2114</v>
      </c>
      <c r="W13" s="1827">
        <v>167208192.57999998</v>
      </c>
      <c r="X13" s="1834">
        <v>21676030.620000001</v>
      </c>
      <c r="Y13" s="1834">
        <v>21676030.620000001</v>
      </c>
      <c r="Z13" s="1828" t="s">
        <v>2110</v>
      </c>
      <c r="AA13" s="2098" t="s">
        <v>2115</v>
      </c>
      <c r="AB13" s="1861">
        <v>55583</v>
      </c>
      <c r="AC13" s="1861">
        <v>55583</v>
      </c>
      <c r="AD13" s="1861" t="s">
        <v>2116</v>
      </c>
      <c r="AE13" s="1861" t="s">
        <v>2116</v>
      </c>
      <c r="AF13" s="1861">
        <v>83375</v>
      </c>
      <c r="AG13" s="1861">
        <v>83375</v>
      </c>
      <c r="AH13" s="1861">
        <v>111167</v>
      </c>
      <c r="AI13" s="1861">
        <v>111167</v>
      </c>
      <c r="AJ13" s="1861">
        <v>166750</v>
      </c>
      <c r="AK13" s="1861">
        <v>166750</v>
      </c>
      <c r="AL13" s="1861">
        <v>83375</v>
      </c>
      <c r="AM13" s="1861">
        <v>83375</v>
      </c>
      <c r="AN13" s="1861"/>
      <c r="AO13" s="1861"/>
      <c r="AP13" s="1861"/>
      <c r="AQ13" s="1861"/>
      <c r="AR13" s="1861"/>
      <c r="AS13" s="1861"/>
      <c r="AT13" s="1861"/>
      <c r="AU13" s="1861"/>
      <c r="AV13" s="1861"/>
      <c r="AW13" s="1861"/>
      <c r="AX13" s="1861"/>
      <c r="AY13" s="1861"/>
      <c r="AZ13" s="2553">
        <v>2</v>
      </c>
      <c r="BA13" s="1872">
        <f>+Y13</f>
        <v>21676030.620000001</v>
      </c>
      <c r="BB13" s="1872">
        <v>21676030.620000001</v>
      </c>
      <c r="BC13" s="2257">
        <f>+BB13/BA13</f>
        <v>1</v>
      </c>
      <c r="BD13" s="2446" t="s">
        <v>2117</v>
      </c>
      <c r="BE13" s="1777" t="s">
        <v>2118</v>
      </c>
      <c r="BF13" s="1862">
        <v>42581</v>
      </c>
      <c r="BG13" s="1862">
        <v>42583</v>
      </c>
      <c r="BH13" s="1862">
        <v>42735</v>
      </c>
      <c r="BI13" s="1862">
        <v>42735</v>
      </c>
      <c r="BJ13" s="2602" t="s">
        <v>2119</v>
      </c>
    </row>
    <row r="14" spans="1:64" s="20" customFormat="1" ht="15" customHeight="1" x14ac:dyDescent="0.2">
      <c r="A14" s="967"/>
      <c r="B14" s="4236"/>
      <c r="C14" s="4237"/>
      <c r="D14" s="967"/>
      <c r="E14" s="4236"/>
      <c r="F14" s="4237"/>
      <c r="G14" s="1838">
        <v>15</v>
      </c>
      <c r="H14" s="4786" t="s">
        <v>369</v>
      </c>
      <c r="I14" s="4787"/>
      <c r="J14" s="4787"/>
      <c r="K14" s="4787"/>
      <c r="L14" s="4787"/>
      <c r="M14" s="4787"/>
      <c r="N14" s="4787"/>
      <c r="O14" s="1823"/>
      <c r="P14" s="1823"/>
      <c r="Q14" s="1823"/>
      <c r="R14" s="2558"/>
      <c r="S14" s="4800"/>
      <c r="T14" s="1823"/>
      <c r="U14" s="1823"/>
      <c r="V14" s="1823"/>
      <c r="W14" s="1823"/>
      <c r="X14" s="1830"/>
      <c r="Y14" s="1830"/>
      <c r="Z14" s="1823"/>
      <c r="AA14" s="1868"/>
      <c r="AB14" s="1869"/>
      <c r="AC14" s="1869"/>
      <c r="AD14" s="1869"/>
      <c r="AE14" s="1869"/>
      <c r="AF14" s="1869"/>
      <c r="AG14" s="1869"/>
      <c r="AH14" s="1869"/>
      <c r="AI14" s="1869"/>
      <c r="AJ14" s="1869"/>
      <c r="AK14" s="1869"/>
      <c r="AL14" s="1869"/>
      <c r="AM14" s="1869"/>
      <c r="AN14" s="1869"/>
      <c r="AO14" s="1869"/>
      <c r="AP14" s="1869"/>
      <c r="AQ14" s="1869"/>
      <c r="AR14" s="1869"/>
      <c r="AS14" s="1869"/>
      <c r="AT14" s="1869"/>
      <c r="AU14" s="1869"/>
      <c r="AV14" s="1869"/>
      <c r="AW14" s="1869"/>
      <c r="AX14" s="1869"/>
      <c r="AY14" s="1869"/>
      <c r="AZ14" s="1874"/>
      <c r="BA14" s="1863"/>
      <c r="BB14" s="1863"/>
      <c r="BC14" s="1864"/>
      <c r="BD14" s="1865"/>
      <c r="BE14" s="1865"/>
      <c r="BF14" s="1866"/>
      <c r="BG14" s="1866"/>
      <c r="BH14" s="1866"/>
      <c r="BI14" s="1867"/>
      <c r="BJ14" s="4791"/>
    </row>
    <row r="15" spans="1:64" s="20" customFormat="1" ht="56.25" customHeight="1" x14ac:dyDescent="0.2">
      <c r="A15" s="1841"/>
      <c r="B15" s="931"/>
      <c r="C15" s="932"/>
      <c r="D15" s="1841"/>
      <c r="E15" s="689"/>
      <c r="F15" s="932"/>
      <c r="G15" s="1842"/>
      <c r="H15" s="1637"/>
      <c r="I15" s="929"/>
      <c r="J15" s="3414">
        <v>63</v>
      </c>
      <c r="K15" s="3054" t="s">
        <v>2120</v>
      </c>
      <c r="L15" s="2600" t="s">
        <v>146</v>
      </c>
      <c r="M15" s="2600">
        <v>250</v>
      </c>
      <c r="N15" s="2672">
        <v>350</v>
      </c>
      <c r="O15" s="1532" t="s">
        <v>2121</v>
      </c>
      <c r="P15" s="2600">
        <v>171</v>
      </c>
      <c r="Q15" s="2605" t="s">
        <v>2111</v>
      </c>
      <c r="R15" s="2620">
        <f>+(W15+W16)/S13</f>
        <v>0.20391856300472941</v>
      </c>
      <c r="S15" s="4800"/>
      <c r="T15" s="2605" t="s">
        <v>2122</v>
      </c>
      <c r="U15" s="2605" t="s">
        <v>2123</v>
      </c>
      <c r="V15" s="2605" t="s">
        <v>2124</v>
      </c>
      <c r="W15" s="1532">
        <v>184000000</v>
      </c>
      <c r="X15" s="1831">
        <v>88750000</v>
      </c>
      <c r="Y15" s="1831">
        <v>88750000</v>
      </c>
      <c r="Z15" s="1532" t="s">
        <v>2121</v>
      </c>
      <c r="AA15" s="2099" t="s">
        <v>2125</v>
      </c>
      <c r="AB15" s="4792">
        <v>55583</v>
      </c>
      <c r="AC15" s="4792">
        <v>55583</v>
      </c>
      <c r="AD15" s="4792" t="s">
        <v>2116</v>
      </c>
      <c r="AE15" s="4792" t="s">
        <v>2116</v>
      </c>
      <c r="AF15" s="4792">
        <v>83375</v>
      </c>
      <c r="AG15" s="4792">
        <v>83375</v>
      </c>
      <c r="AH15" s="4792">
        <v>111167</v>
      </c>
      <c r="AI15" s="4792">
        <v>111167</v>
      </c>
      <c r="AJ15" s="4792">
        <v>166750</v>
      </c>
      <c r="AK15" s="4792">
        <v>166750</v>
      </c>
      <c r="AL15" s="4792">
        <v>83375</v>
      </c>
      <c r="AM15" s="4792">
        <v>83375</v>
      </c>
      <c r="AN15" s="4760"/>
      <c r="AO15" s="4760"/>
      <c r="AP15" s="4760"/>
      <c r="AQ15" s="4760"/>
      <c r="AR15" s="4760"/>
      <c r="AS15" s="4760"/>
      <c r="AT15" s="4760"/>
      <c r="AU15" s="4760"/>
      <c r="AV15" s="4760"/>
      <c r="AW15" s="4760"/>
      <c r="AX15" s="4760"/>
      <c r="AY15" s="4760"/>
      <c r="AZ15" s="4760">
        <v>8</v>
      </c>
      <c r="BA15" s="4795">
        <f>+Y15+Y16</f>
        <v>217208907.16</v>
      </c>
      <c r="BB15" s="4795">
        <f>+BA15</f>
        <v>217208907.16</v>
      </c>
      <c r="BC15" s="4761">
        <v>1</v>
      </c>
      <c r="BD15" s="4164" t="s">
        <v>2117</v>
      </c>
      <c r="BE15" s="4164" t="s">
        <v>2118</v>
      </c>
      <c r="BF15" s="3439">
        <v>42581</v>
      </c>
      <c r="BG15" s="3439">
        <v>42583</v>
      </c>
      <c r="BH15" s="3439">
        <v>42735</v>
      </c>
      <c r="BI15" s="3439">
        <v>42735</v>
      </c>
      <c r="BJ15" s="2603"/>
    </row>
    <row r="16" spans="1:64" s="20" customFormat="1" ht="56.25" customHeight="1" x14ac:dyDescent="0.2">
      <c r="A16" s="1841"/>
      <c r="B16" s="931"/>
      <c r="C16" s="932"/>
      <c r="D16" s="1841"/>
      <c r="E16" s="689"/>
      <c r="F16" s="932"/>
      <c r="G16" s="1841"/>
      <c r="H16" s="924"/>
      <c r="I16" s="932"/>
      <c r="J16" s="3420"/>
      <c r="K16" s="3056"/>
      <c r="L16" s="2636"/>
      <c r="M16" s="2636"/>
      <c r="N16" s="2674"/>
      <c r="O16" s="1532" t="s">
        <v>2110</v>
      </c>
      <c r="P16" s="2601"/>
      <c r="Q16" s="2987"/>
      <c r="R16" s="2967"/>
      <c r="S16" s="4800"/>
      <c r="T16" s="2987"/>
      <c r="U16" s="2988"/>
      <c r="V16" s="2988"/>
      <c r="W16" s="1532">
        <v>181634140.21000001</v>
      </c>
      <c r="X16" s="1831">
        <v>128458907.16</v>
      </c>
      <c r="Y16" s="1831">
        <v>128458907.16</v>
      </c>
      <c r="Z16" s="1532" t="s">
        <v>2110</v>
      </c>
      <c r="AA16" s="2137" t="s">
        <v>2115</v>
      </c>
      <c r="AB16" s="4793"/>
      <c r="AC16" s="4793"/>
      <c r="AD16" s="4793"/>
      <c r="AE16" s="4793"/>
      <c r="AF16" s="4793"/>
      <c r="AG16" s="4793"/>
      <c r="AH16" s="4793"/>
      <c r="AI16" s="4793"/>
      <c r="AJ16" s="4793"/>
      <c r="AK16" s="4793"/>
      <c r="AL16" s="4793"/>
      <c r="AM16" s="4793"/>
      <c r="AN16" s="4760"/>
      <c r="AO16" s="4760"/>
      <c r="AP16" s="4760"/>
      <c r="AQ16" s="4760"/>
      <c r="AR16" s="4760"/>
      <c r="AS16" s="4760"/>
      <c r="AT16" s="4760"/>
      <c r="AU16" s="4760"/>
      <c r="AV16" s="4760"/>
      <c r="AW16" s="4760"/>
      <c r="AX16" s="4760"/>
      <c r="AY16" s="4760"/>
      <c r="AZ16" s="4760"/>
      <c r="BA16" s="4760"/>
      <c r="BB16" s="4760"/>
      <c r="BC16" s="4761"/>
      <c r="BD16" s="4165"/>
      <c r="BE16" s="4165"/>
      <c r="BF16" s="3441">
        <v>42581</v>
      </c>
      <c r="BG16" s="3441">
        <v>42583</v>
      </c>
      <c r="BH16" s="3441">
        <v>42735</v>
      </c>
      <c r="BI16" s="3441">
        <v>42735</v>
      </c>
      <c r="BJ16" s="2603"/>
    </row>
    <row r="17" spans="1:62" s="20" customFormat="1" ht="56.25" customHeight="1" x14ac:dyDescent="0.2">
      <c r="A17" s="1841"/>
      <c r="B17" s="931"/>
      <c r="C17" s="932"/>
      <c r="D17" s="1841"/>
      <c r="E17" s="689"/>
      <c r="F17" s="932"/>
      <c r="G17" s="1841"/>
      <c r="H17" s="924"/>
      <c r="I17" s="932"/>
      <c r="J17" s="2600">
        <v>59</v>
      </c>
      <c r="K17" s="2600" t="s">
        <v>388</v>
      </c>
      <c r="L17" s="2600" t="s">
        <v>146</v>
      </c>
      <c r="M17" s="2600">
        <v>12</v>
      </c>
      <c r="N17" s="2672">
        <v>24</v>
      </c>
      <c r="O17" s="1532" t="s">
        <v>2121</v>
      </c>
      <c r="P17" s="2601"/>
      <c r="Q17" s="2987"/>
      <c r="R17" s="2620">
        <f>+(W17+W18)/S13</f>
        <v>0.12983079430464464</v>
      </c>
      <c r="S17" s="4800"/>
      <c r="T17" s="2987"/>
      <c r="U17" s="2605" t="s">
        <v>2113</v>
      </c>
      <c r="V17" s="2605" t="s">
        <v>2126</v>
      </c>
      <c r="W17" s="1533">
        <v>200000000</v>
      </c>
      <c r="X17" s="1832">
        <v>200000000</v>
      </c>
      <c r="Y17" s="1832">
        <v>200000000</v>
      </c>
      <c r="Z17" s="1532" t="s">
        <v>2121</v>
      </c>
      <c r="AA17" s="2137" t="s">
        <v>2125</v>
      </c>
      <c r="AB17" s="4793"/>
      <c r="AC17" s="4793"/>
      <c r="AD17" s="4793"/>
      <c r="AE17" s="4793"/>
      <c r="AF17" s="4793"/>
      <c r="AG17" s="4793"/>
      <c r="AH17" s="4793"/>
      <c r="AI17" s="4793"/>
      <c r="AJ17" s="4793"/>
      <c r="AK17" s="4793"/>
      <c r="AL17" s="4793"/>
      <c r="AM17" s="4793"/>
      <c r="AN17" s="4792"/>
      <c r="AO17" s="4792"/>
      <c r="AP17" s="2553"/>
      <c r="AQ17" s="2553"/>
      <c r="AR17" s="2553"/>
      <c r="AS17" s="2553"/>
      <c r="AT17" s="2553"/>
      <c r="AU17" s="2553"/>
      <c r="AV17" s="2553"/>
      <c r="AW17" s="2553"/>
      <c r="AX17" s="2553"/>
      <c r="AY17" s="2553"/>
      <c r="AZ17" s="4792">
        <v>10</v>
      </c>
      <c r="BA17" s="3904">
        <v>232791807.42000002</v>
      </c>
      <c r="BB17" s="3904">
        <v>232791807.42000002</v>
      </c>
      <c r="BC17" s="4792">
        <f>+BB17/BA17</f>
        <v>1</v>
      </c>
      <c r="BD17" s="4792" t="s">
        <v>2117</v>
      </c>
      <c r="BE17" s="4164" t="s">
        <v>2118</v>
      </c>
      <c r="BF17" s="2593">
        <v>42581</v>
      </c>
      <c r="BG17" s="2593">
        <v>42583</v>
      </c>
      <c r="BH17" s="2593">
        <v>42735</v>
      </c>
      <c r="BI17" s="2593">
        <v>42735</v>
      </c>
      <c r="BJ17" s="2603"/>
    </row>
    <row r="18" spans="1:62" s="20" customFormat="1" ht="56.25" customHeight="1" x14ac:dyDescent="0.2">
      <c r="A18" s="1841"/>
      <c r="B18" s="931"/>
      <c r="C18" s="932"/>
      <c r="D18" s="1841"/>
      <c r="E18" s="689"/>
      <c r="F18" s="932"/>
      <c r="G18" s="1841"/>
      <c r="H18" s="924"/>
      <c r="I18" s="932"/>
      <c r="J18" s="2636"/>
      <c r="K18" s="2636"/>
      <c r="L18" s="2636"/>
      <c r="M18" s="2636"/>
      <c r="N18" s="2674"/>
      <c r="O18" s="1532" t="s">
        <v>2110</v>
      </c>
      <c r="P18" s="2601"/>
      <c r="Q18" s="2987"/>
      <c r="R18" s="2967"/>
      <c r="S18" s="4800"/>
      <c r="T18" s="2987"/>
      <c r="U18" s="2987"/>
      <c r="V18" s="2988"/>
      <c r="W18" s="1533">
        <v>32791807.420000002</v>
      </c>
      <c r="X18" s="1832">
        <v>32791807.420000002</v>
      </c>
      <c r="Y18" s="1832">
        <v>32791807.420000002</v>
      </c>
      <c r="Z18" s="1532" t="s">
        <v>2110</v>
      </c>
      <c r="AA18" s="2137" t="s">
        <v>2115</v>
      </c>
      <c r="AB18" s="4793"/>
      <c r="AC18" s="4793"/>
      <c r="AD18" s="4793"/>
      <c r="AE18" s="4793"/>
      <c r="AF18" s="4793"/>
      <c r="AG18" s="4793"/>
      <c r="AH18" s="4793"/>
      <c r="AI18" s="4793"/>
      <c r="AJ18" s="4793"/>
      <c r="AK18" s="4793"/>
      <c r="AL18" s="4793"/>
      <c r="AM18" s="4793"/>
      <c r="AN18" s="4794"/>
      <c r="AO18" s="4794"/>
      <c r="AP18" s="2554"/>
      <c r="AQ18" s="2554"/>
      <c r="AR18" s="2554"/>
      <c r="AS18" s="2554"/>
      <c r="AT18" s="2554"/>
      <c r="AU18" s="2554"/>
      <c r="AV18" s="2554"/>
      <c r="AW18" s="2554"/>
      <c r="AX18" s="2554"/>
      <c r="AY18" s="2554"/>
      <c r="AZ18" s="4794"/>
      <c r="BA18" s="4796"/>
      <c r="BB18" s="4796"/>
      <c r="BC18" s="4794" t="e">
        <f>+BB18/BA18</f>
        <v>#DIV/0!</v>
      </c>
      <c r="BD18" s="4794" t="s">
        <v>2117</v>
      </c>
      <c r="BE18" s="4165"/>
      <c r="BF18" s="3400"/>
      <c r="BG18" s="3400">
        <v>42583</v>
      </c>
      <c r="BH18" s="3400">
        <v>42735</v>
      </c>
      <c r="BI18" s="3400">
        <v>42735</v>
      </c>
      <c r="BJ18" s="2603"/>
    </row>
    <row r="19" spans="1:62" s="20" customFormat="1" ht="55.5" customHeight="1" x14ac:dyDescent="0.2">
      <c r="A19" s="1841"/>
      <c r="B19" s="931"/>
      <c r="C19" s="932"/>
      <c r="D19" s="1841"/>
      <c r="E19" s="689"/>
      <c r="F19" s="932"/>
      <c r="G19" s="1841"/>
      <c r="H19" s="924"/>
      <c r="I19" s="932"/>
      <c r="J19" s="2600">
        <v>57</v>
      </c>
      <c r="K19" s="2605" t="s">
        <v>370</v>
      </c>
      <c r="L19" s="2600" t="s">
        <v>19</v>
      </c>
      <c r="M19" s="2600">
        <v>12</v>
      </c>
      <c r="N19" s="2672">
        <v>12</v>
      </c>
      <c r="O19" s="1532" t="s">
        <v>2121</v>
      </c>
      <c r="P19" s="2601"/>
      <c r="Q19" s="2987"/>
      <c r="R19" s="2620">
        <f>+(W19+W20)/S13</f>
        <v>0.47742381653504662</v>
      </c>
      <c r="S19" s="4800"/>
      <c r="T19" s="2987"/>
      <c r="U19" s="2987"/>
      <c r="V19" s="2605" t="s">
        <v>2127</v>
      </c>
      <c r="W19" s="1533">
        <v>846000000</v>
      </c>
      <c r="X19" s="1832">
        <v>839956768.38</v>
      </c>
      <c r="Y19" s="1832">
        <v>839956768.38</v>
      </c>
      <c r="Z19" s="1532" t="s">
        <v>2121</v>
      </c>
      <c r="AA19" s="2137" t="s">
        <v>2125</v>
      </c>
      <c r="AB19" s="4793"/>
      <c r="AC19" s="4793"/>
      <c r="AD19" s="4793"/>
      <c r="AE19" s="4793"/>
      <c r="AF19" s="4793"/>
      <c r="AG19" s="4793"/>
      <c r="AH19" s="4793"/>
      <c r="AI19" s="4793"/>
      <c r="AJ19" s="4793"/>
      <c r="AK19" s="4793"/>
      <c r="AL19" s="4793"/>
      <c r="AM19" s="4793"/>
      <c r="AN19" s="4792"/>
      <c r="AO19" s="4792"/>
      <c r="AP19" s="4792"/>
      <c r="AQ19" s="4792"/>
      <c r="AR19" s="4792"/>
      <c r="AS19" s="4792"/>
      <c r="AT19" s="4792"/>
      <c r="AU19" s="4792"/>
      <c r="AV19" s="4792"/>
      <c r="AW19" s="4792"/>
      <c r="AX19" s="4792"/>
      <c r="AY19" s="4792"/>
      <c r="AZ19" s="4792">
        <v>3</v>
      </c>
      <c r="BA19" s="4797">
        <f>+Y19+Y20</f>
        <v>848956768.38</v>
      </c>
      <c r="BB19" s="4797">
        <f>+BA19</f>
        <v>848956768.38</v>
      </c>
      <c r="BC19" s="3347">
        <f>+BB19/BA19</f>
        <v>1</v>
      </c>
      <c r="BD19" s="4164" t="s">
        <v>2117</v>
      </c>
      <c r="BE19" s="4164" t="s">
        <v>2118</v>
      </c>
      <c r="BF19" s="2593">
        <v>42581</v>
      </c>
      <c r="BG19" s="2593">
        <v>42583</v>
      </c>
      <c r="BH19" s="2593">
        <v>42735</v>
      </c>
      <c r="BI19" s="2593">
        <v>42735</v>
      </c>
      <c r="BJ19" s="2603"/>
    </row>
    <row r="20" spans="1:62" s="20" customFormat="1" ht="44.25" customHeight="1" x14ac:dyDescent="0.2">
      <c r="A20" s="1841"/>
      <c r="B20" s="931"/>
      <c r="C20" s="932"/>
      <c r="D20" s="1841"/>
      <c r="E20" s="689"/>
      <c r="F20" s="932"/>
      <c r="G20" s="1841"/>
      <c r="H20" s="924"/>
      <c r="I20" s="932"/>
      <c r="J20" s="2636"/>
      <c r="K20" s="2988"/>
      <c r="L20" s="2636"/>
      <c r="M20" s="2636"/>
      <c r="N20" s="2674"/>
      <c r="O20" s="1532" t="s">
        <v>2110</v>
      </c>
      <c r="P20" s="2601"/>
      <c r="Q20" s="2987"/>
      <c r="R20" s="2967"/>
      <c r="S20" s="4800"/>
      <c r="T20" s="2987"/>
      <c r="U20" s="2987"/>
      <c r="V20" s="2988"/>
      <c r="W20" s="1533">
        <v>10040000</v>
      </c>
      <c r="X20" s="1832">
        <v>9000000</v>
      </c>
      <c r="Y20" s="1832">
        <v>9000000</v>
      </c>
      <c r="Z20" s="1532" t="s">
        <v>2110</v>
      </c>
      <c r="AA20" s="2137" t="s">
        <v>2115</v>
      </c>
      <c r="AB20" s="4793"/>
      <c r="AC20" s="4793"/>
      <c r="AD20" s="4793"/>
      <c r="AE20" s="4793"/>
      <c r="AF20" s="4793"/>
      <c r="AG20" s="4793"/>
      <c r="AH20" s="4793"/>
      <c r="AI20" s="4793"/>
      <c r="AJ20" s="4793"/>
      <c r="AK20" s="4793"/>
      <c r="AL20" s="4793"/>
      <c r="AM20" s="4793"/>
      <c r="AN20" s="4794"/>
      <c r="AO20" s="4794"/>
      <c r="AP20" s="4794"/>
      <c r="AQ20" s="4794"/>
      <c r="AR20" s="4794"/>
      <c r="AS20" s="4794"/>
      <c r="AT20" s="4794"/>
      <c r="AU20" s="4794"/>
      <c r="AV20" s="4794"/>
      <c r="AW20" s="4794"/>
      <c r="AX20" s="4794"/>
      <c r="AY20" s="4794"/>
      <c r="AZ20" s="4794"/>
      <c r="BA20" s="4798"/>
      <c r="BB20" s="4798"/>
      <c r="BC20" s="3349" t="e">
        <f>+BB20/BA20</f>
        <v>#DIV/0!</v>
      </c>
      <c r="BD20" s="4165" t="s">
        <v>2117</v>
      </c>
      <c r="BE20" s="4165"/>
      <c r="BF20" s="3400">
        <v>42581</v>
      </c>
      <c r="BG20" s="3400">
        <v>42583</v>
      </c>
      <c r="BH20" s="3400">
        <v>42735</v>
      </c>
      <c r="BI20" s="3400">
        <v>42735</v>
      </c>
      <c r="BJ20" s="2603"/>
    </row>
    <row r="21" spans="1:62" s="20" customFormat="1" ht="242.25" x14ac:dyDescent="0.2">
      <c r="A21" s="1841"/>
      <c r="B21" s="931"/>
      <c r="C21" s="932"/>
      <c r="D21" s="1841"/>
      <c r="E21" s="689"/>
      <c r="F21" s="932"/>
      <c r="G21" s="1841"/>
      <c r="H21" s="924"/>
      <c r="I21" s="932"/>
      <c r="J21" s="2300">
        <v>60</v>
      </c>
      <c r="K21" s="2130" t="s">
        <v>2128</v>
      </c>
      <c r="L21" s="2427" t="s">
        <v>19</v>
      </c>
      <c r="M21" s="2097">
        <v>12</v>
      </c>
      <c r="N21" s="2095">
        <v>18</v>
      </c>
      <c r="O21" s="1532" t="s">
        <v>2110</v>
      </c>
      <c r="P21" s="2601"/>
      <c r="Q21" s="2987"/>
      <c r="R21" s="2132">
        <f>+(W21/S13)</f>
        <v>9.5572803612858623E-2</v>
      </c>
      <c r="S21" s="4801"/>
      <c r="T21" s="2988"/>
      <c r="U21" s="2988"/>
      <c r="V21" s="2130" t="s">
        <v>2129</v>
      </c>
      <c r="W21" s="1825">
        <v>171365859.79000002</v>
      </c>
      <c r="X21" s="1833">
        <v>161525412.42000002</v>
      </c>
      <c r="Y21" s="1833">
        <v>161525412.42000002</v>
      </c>
      <c r="Z21" s="1826" t="s">
        <v>2110</v>
      </c>
      <c r="AA21" s="2097" t="s">
        <v>2115</v>
      </c>
      <c r="AB21" s="4794"/>
      <c r="AC21" s="4794"/>
      <c r="AD21" s="4794"/>
      <c r="AE21" s="4794"/>
      <c r="AF21" s="4794"/>
      <c r="AG21" s="4794"/>
      <c r="AH21" s="4794"/>
      <c r="AI21" s="4794"/>
      <c r="AJ21" s="4794"/>
      <c r="AK21" s="4794"/>
      <c r="AL21" s="4794"/>
      <c r="AM21" s="4794"/>
      <c r="AN21" s="1870"/>
      <c r="AO21" s="1870"/>
      <c r="AP21" s="1870"/>
      <c r="AQ21" s="1870"/>
      <c r="AR21" s="1870"/>
      <c r="AS21" s="1870"/>
      <c r="AT21" s="1870"/>
      <c r="AU21" s="1870"/>
      <c r="AV21" s="1870"/>
      <c r="AW21" s="1870"/>
      <c r="AX21" s="1870"/>
      <c r="AY21" s="1870"/>
      <c r="AZ21" s="2556">
        <v>12</v>
      </c>
      <c r="BA21" s="1871">
        <f>+Y21</f>
        <v>161525412.42000002</v>
      </c>
      <c r="BB21" s="1871">
        <v>161525412.42000002</v>
      </c>
      <c r="BC21" s="2561">
        <f>+BB21/BA21</f>
        <v>1</v>
      </c>
      <c r="BD21" s="2446" t="s">
        <v>2117</v>
      </c>
      <c r="BE21" s="1777" t="s">
        <v>2118</v>
      </c>
      <c r="BF21" s="1862">
        <v>42581</v>
      </c>
      <c r="BG21" s="1862">
        <v>42583</v>
      </c>
      <c r="BH21" s="1862">
        <v>42735</v>
      </c>
      <c r="BI21" s="1862">
        <v>42735</v>
      </c>
      <c r="BJ21" s="3435"/>
    </row>
    <row r="22" spans="1:62" s="413" customFormat="1" ht="15" thickBot="1" x14ac:dyDescent="0.25">
      <c r="A22" s="2054"/>
      <c r="B22" s="2055"/>
      <c r="C22" s="2056"/>
      <c r="D22" s="2054"/>
      <c r="E22" s="1605"/>
      <c r="F22" s="2056"/>
      <c r="G22" s="2054"/>
      <c r="H22" s="2054"/>
      <c r="I22" s="1605"/>
      <c r="J22" s="1605"/>
      <c r="K22" s="1605"/>
      <c r="L22" s="1605"/>
      <c r="M22" s="1605"/>
      <c r="N22" s="2057"/>
      <c r="O22" s="1605"/>
      <c r="P22" s="1605"/>
      <c r="Q22" s="1998"/>
      <c r="R22" s="1997"/>
      <c r="S22" s="1854"/>
      <c r="T22" s="1855"/>
      <c r="U22" s="1855"/>
      <c r="V22" s="1856"/>
      <c r="W22" s="1856"/>
      <c r="X22" s="1857"/>
      <c r="Y22" s="1857"/>
      <c r="Z22" s="1858"/>
      <c r="AA22" s="1856"/>
      <c r="AB22" s="1854"/>
      <c r="AC22" s="1854"/>
      <c r="AD22" s="1854"/>
      <c r="AE22" s="1854"/>
      <c r="AF22" s="1854"/>
      <c r="AG22" s="1854"/>
      <c r="AH22" s="1854"/>
      <c r="AI22" s="1854"/>
      <c r="AJ22" s="1854"/>
      <c r="AK22" s="1854"/>
      <c r="AL22" s="1854"/>
      <c r="AM22" s="1854"/>
      <c r="AN22" s="1854"/>
      <c r="AO22" s="1854"/>
      <c r="AP22" s="1854"/>
      <c r="AQ22" s="1854"/>
      <c r="AR22" s="1854"/>
      <c r="AS22" s="1854"/>
      <c r="AT22" s="1854"/>
      <c r="AU22" s="1854"/>
      <c r="AV22" s="1854"/>
      <c r="AW22" s="1854"/>
      <c r="AX22" s="1854"/>
      <c r="AY22" s="1854"/>
      <c r="AZ22" s="1875"/>
      <c r="BA22" s="1871">
        <f>SUM(BA13:BA21)</f>
        <v>1482158926</v>
      </c>
      <c r="BB22" s="1871">
        <f>SUM(BB13:BB21)</f>
        <v>1482158926</v>
      </c>
      <c r="BC22" s="1854"/>
      <c r="BD22" s="1854"/>
      <c r="BE22" s="1855"/>
      <c r="BF22" s="1859"/>
      <c r="BG22" s="1859"/>
      <c r="BH22" s="1860"/>
      <c r="BI22" s="1860"/>
      <c r="BJ22" s="2053"/>
    </row>
    <row r="23" spans="1:62" s="20" customFormat="1" ht="15.75" customHeight="1" thickBot="1" x14ac:dyDescent="0.3">
      <c r="A23" s="4788" t="s">
        <v>2130</v>
      </c>
      <c r="B23" s="4789"/>
      <c r="C23" s="4789"/>
      <c r="D23" s="4789"/>
      <c r="E23" s="4789"/>
      <c r="F23" s="4789"/>
      <c r="G23" s="4789"/>
      <c r="H23" s="4789"/>
      <c r="I23" s="4789"/>
      <c r="J23" s="4789"/>
      <c r="K23" s="4789"/>
      <c r="L23" s="4789"/>
      <c r="M23" s="4789"/>
      <c r="N23" s="4789"/>
      <c r="O23" s="4789"/>
      <c r="P23" s="4789"/>
      <c r="Q23" s="4789"/>
      <c r="R23" s="4790"/>
      <c r="S23" s="1843">
        <v>1793040000</v>
      </c>
      <c r="T23" s="1844"/>
      <c r="U23" s="1845"/>
      <c r="V23" s="1846"/>
      <c r="W23" s="1847">
        <f>SUM(W15:W22)+W13</f>
        <v>1793040000</v>
      </c>
      <c r="X23" s="1848">
        <f>SUM(X15:X22)+X13</f>
        <v>1482158926</v>
      </c>
      <c r="Y23" s="1848">
        <f>SUM(Y15:Y22)+Y13</f>
        <v>1482158926</v>
      </c>
      <c r="Z23" s="1849"/>
      <c r="AA23" s="1850"/>
      <c r="AB23" s="1851"/>
      <c r="AC23" s="1851"/>
      <c r="AD23" s="1851"/>
      <c r="AE23" s="1851"/>
      <c r="AF23" s="1851"/>
      <c r="AG23" s="1851"/>
      <c r="AH23" s="1851"/>
      <c r="AI23" s="1851"/>
      <c r="AJ23" s="1851"/>
      <c r="AK23" s="1851"/>
      <c r="AL23" s="1851"/>
      <c r="AM23" s="1851"/>
      <c r="AN23" s="1851"/>
      <c r="AO23" s="1851"/>
      <c r="AP23" s="1851"/>
      <c r="AQ23" s="1851"/>
      <c r="AR23" s="1851"/>
      <c r="AS23" s="1851"/>
      <c r="AT23" s="1851"/>
      <c r="AU23" s="1851"/>
      <c r="AV23" s="1851"/>
      <c r="AW23" s="1851"/>
      <c r="AX23" s="1851"/>
      <c r="AY23" s="1851"/>
      <c r="AZ23" s="1876"/>
      <c r="BA23" s="1851"/>
      <c r="BB23" s="1851"/>
      <c r="BC23" s="1851"/>
      <c r="BD23" s="1851"/>
      <c r="BE23" s="1845"/>
      <c r="BF23" s="722"/>
      <c r="BG23" s="722"/>
      <c r="BH23" s="1852"/>
      <c r="BI23" s="1852"/>
      <c r="BJ23" s="1853"/>
    </row>
    <row r="24" spans="1:62" s="20" customFormat="1" x14ac:dyDescent="0.2">
      <c r="N24" s="1607"/>
      <c r="Q24" s="684"/>
      <c r="R24" s="1534"/>
      <c r="T24" s="1588"/>
      <c r="U24" s="1588"/>
      <c r="V24" s="1535"/>
      <c r="W24" s="1877">
        <f>+W23-S23</f>
        <v>0</v>
      </c>
      <c r="X24" s="1835"/>
      <c r="Y24" s="1835"/>
      <c r="Z24" s="1537"/>
      <c r="AA24" s="1535"/>
      <c r="AZ24" s="1893"/>
      <c r="BE24" s="1588"/>
      <c r="BF24" s="21"/>
      <c r="BG24" s="21"/>
      <c r="BH24" s="1536"/>
      <c r="BI24" s="1536"/>
      <c r="BJ24" s="436"/>
    </row>
    <row r="25" spans="1:62" s="20" customFormat="1" x14ac:dyDescent="0.2">
      <c r="N25" s="1607"/>
      <c r="Q25" s="684"/>
      <c r="R25" s="1534"/>
      <c r="T25" s="1588"/>
      <c r="U25" s="1588"/>
      <c r="V25" s="1535"/>
      <c r="W25" s="1535"/>
      <c r="X25" s="1835"/>
      <c r="Y25" s="1835"/>
      <c r="Z25" s="1535"/>
      <c r="AA25" s="1535"/>
      <c r="AZ25" s="1893"/>
      <c r="BE25" s="1588"/>
      <c r="BF25" s="21"/>
      <c r="BG25" s="21"/>
      <c r="BH25" s="1536"/>
      <c r="BI25" s="1536"/>
      <c r="BJ25" s="436"/>
    </row>
    <row r="26" spans="1:62" s="20" customFormat="1" x14ac:dyDescent="0.2">
      <c r="N26" s="1607"/>
      <c r="Q26" s="684"/>
      <c r="R26" s="1534"/>
      <c r="T26" s="1588"/>
      <c r="U26" s="1588"/>
      <c r="V26" s="1535"/>
      <c r="W26" s="1535"/>
      <c r="X26" s="1835"/>
      <c r="Y26" s="1835"/>
      <c r="Z26" s="1535"/>
      <c r="AA26" s="1535"/>
      <c r="AZ26" s="1893"/>
      <c r="BE26" s="1588"/>
      <c r="BF26" s="21"/>
      <c r="BG26" s="21"/>
      <c r="BH26" s="1536"/>
      <c r="BI26" s="1536"/>
      <c r="BJ26" s="436"/>
    </row>
    <row r="27" spans="1:62" s="20" customFormat="1" x14ac:dyDescent="0.2">
      <c r="N27" s="1607"/>
      <c r="Q27" s="684"/>
      <c r="R27" s="1534"/>
      <c r="T27" s="1588"/>
      <c r="U27" s="1588"/>
      <c r="V27" s="1535"/>
      <c r="W27" s="1535"/>
      <c r="X27" s="1835"/>
      <c r="Y27" s="1835"/>
      <c r="Z27" s="1535"/>
      <c r="AA27" s="1535"/>
      <c r="AZ27" s="1893"/>
      <c r="BE27" s="1588"/>
      <c r="BF27" s="21"/>
      <c r="BG27" s="21"/>
      <c r="BH27" s="1536"/>
      <c r="BI27" s="1536"/>
      <c r="BJ27" s="436"/>
    </row>
    <row r="28" spans="1:62" s="20" customFormat="1" x14ac:dyDescent="0.2">
      <c r="N28" s="1607"/>
      <c r="Q28" s="684"/>
      <c r="R28" s="1534"/>
      <c r="T28" s="1588"/>
      <c r="U28" s="1588"/>
      <c r="V28" s="1535"/>
      <c r="W28" s="1535"/>
      <c r="X28" s="1835"/>
      <c r="Y28" s="1835"/>
      <c r="Z28" s="1535"/>
      <c r="AA28" s="1535"/>
      <c r="AZ28" s="1893"/>
      <c r="BE28" s="1588"/>
      <c r="BF28" s="21"/>
      <c r="BG28" s="21"/>
      <c r="BH28" s="1536"/>
      <c r="BI28" s="1536"/>
      <c r="BJ28" s="436"/>
    </row>
    <row r="29" spans="1:62" s="20" customFormat="1" ht="15" x14ac:dyDescent="0.25">
      <c r="K29" s="1538" t="s">
        <v>2131</v>
      </c>
      <c r="L29" s="1538"/>
      <c r="M29" s="1538"/>
      <c r="N29" s="1614"/>
      <c r="O29" s="1538"/>
      <c r="Q29" s="684"/>
      <c r="R29" s="1534"/>
      <c r="T29" s="1588"/>
      <c r="U29" s="1588"/>
      <c r="V29" s="1535"/>
      <c r="W29" s="1535"/>
      <c r="X29" s="1835"/>
      <c r="Y29" s="1835"/>
      <c r="Z29" s="1535"/>
      <c r="AA29" s="1535"/>
      <c r="AZ29" s="1893"/>
      <c r="BE29" s="1588"/>
      <c r="BF29" s="21"/>
      <c r="BG29" s="21"/>
      <c r="BH29" s="1536"/>
      <c r="BI29" s="1536"/>
      <c r="BJ29" s="436"/>
    </row>
    <row r="30" spans="1:62" s="20" customFormat="1" x14ac:dyDescent="0.2">
      <c r="K30" s="20" t="s">
        <v>2132</v>
      </c>
      <c r="N30" s="1607"/>
      <c r="Q30" s="684"/>
      <c r="R30" s="1534"/>
      <c r="T30" s="1588"/>
      <c r="U30" s="1588"/>
      <c r="V30" s="1535"/>
      <c r="W30" s="1535"/>
      <c r="X30" s="1835"/>
      <c r="Y30" s="1835"/>
      <c r="Z30" s="1535"/>
      <c r="AA30" s="1535"/>
      <c r="AZ30" s="1893"/>
      <c r="BE30" s="1588"/>
      <c r="BF30" s="21"/>
      <c r="BG30" s="21"/>
      <c r="BH30" s="1536"/>
      <c r="BI30" s="1536"/>
      <c r="BJ30" s="436"/>
    </row>
    <row r="31" spans="1:62" s="20" customFormat="1" x14ac:dyDescent="0.2">
      <c r="N31" s="1607"/>
      <c r="Q31" s="684"/>
      <c r="R31" s="1534"/>
      <c r="T31" s="1588"/>
      <c r="U31" s="1588"/>
      <c r="V31" s="1535"/>
      <c r="W31" s="1535"/>
      <c r="X31" s="1835"/>
      <c r="Y31" s="1835"/>
      <c r="Z31" s="1535"/>
      <c r="AA31" s="1535"/>
      <c r="AZ31" s="1893"/>
      <c r="BE31" s="1588"/>
      <c r="BF31" s="21"/>
      <c r="BG31" s="21"/>
      <c r="BH31" s="1536"/>
      <c r="BI31" s="1536"/>
      <c r="BJ31" s="436"/>
    </row>
    <row r="32" spans="1:62" s="20" customFormat="1" x14ac:dyDescent="0.2">
      <c r="N32" s="1607"/>
      <c r="Q32" s="684"/>
      <c r="R32" s="1534"/>
      <c r="T32" s="1588"/>
      <c r="U32" s="1588"/>
      <c r="V32" s="1535"/>
      <c r="W32" s="1535"/>
      <c r="X32" s="1835"/>
      <c r="Y32" s="1835"/>
      <c r="Z32" s="1535"/>
      <c r="AA32" s="1535"/>
      <c r="AZ32" s="1893"/>
      <c r="BE32" s="1588"/>
      <c r="BF32" s="21"/>
      <c r="BG32" s="21"/>
      <c r="BH32" s="1536"/>
      <c r="BI32" s="1536"/>
      <c r="BJ32" s="436"/>
    </row>
    <row r="33" spans="14:62" s="20" customFormat="1" x14ac:dyDescent="0.2">
      <c r="N33" s="1607"/>
      <c r="Q33" s="684"/>
      <c r="R33" s="1534"/>
      <c r="T33" s="1588"/>
      <c r="U33" s="1588"/>
      <c r="V33" s="1535"/>
      <c r="W33" s="1535"/>
      <c r="X33" s="1835"/>
      <c r="Y33" s="1835"/>
      <c r="Z33" s="1535"/>
      <c r="AA33" s="1535"/>
      <c r="AZ33" s="1893"/>
      <c r="BE33" s="1588"/>
      <c r="BF33" s="21"/>
      <c r="BG33" s="21"/>
      <c r="BH33" s="1536"/>
      <c r="BI33" s="1536"/>
      <c r="BJ33" s="436"/>
    </row>
    <row r="34" spans="14:62" s="20" customFormat="1" x14ac:dyDescent="0.2">
      <c r="N34" s="1607"/>
      <c r="Q34" s="684"/>
      <c r="R34" s="1534"/>
      <c r="T34" s="1588"/>
      <c r="U34" s="1588"/>
      <c r="V34" s="1535"/>
      <c r="W34" s="1535"/>
      <c r="X34" s="1835"/>
      <c r="Y34" s="1835"/>
      <c r="Z34" s="1535"/>
      <c r="AA34" s="1535"/>
      <c r="AZ34" s="1893"/>
      <c r="BE34" s="1588"/>
      <c r="BF34" s="21"/>
      <c r="BG34" s="21"/>
      <c r="BH34" s="1536"/>
      <c r="BI34" s="1536"/>
      <c r="BJ34" s="436"/>
    </row>
    <row r="35" spans="14:62" s="20" customFormat="1" x14ac:dyDescent="0.2">
      <c r="N35" s="1607"/>
      <c r="Q35" s="684"/>
      <c r="R35" s="1534"/>
      <c r="T35" s="1588"/>
      <c r="U35" s="1588"/>
      <c r="V35" s="1535"/>
      <c r="W35" s="1535"/>
      <c r="X35" s="1835"/>
      <c r="Y35" s="1835"/>
      <c r="Z35" s="1535"/>
      <c r="AA35" s="1535"/>
      <c r="AZ35" s="1893"/>
      <c r="BE35" s="1588"/>
      <c r="BF35" s="21"/>
      <c r="BG35" s="21"/>
      <c r="BH35" s="1536"/>
      <c r="BI35" s="1536"/>
      <c r="BJ35" s="436"/>
    </row>
    <row r="36" spans="14:62" s="20" customFormat="1" x14ac:dyDescent="0.2">
      <c r="N36" s="1607"/>
      <c r="Q36" s="684"/>
      <c r="R36" s="1534"/>
      <c r="T36" s="1588"/>
      <c r="U36" s="1588"/>
      <c r="V36" s="1535"/>
      <c r="W36" s="1535"/>
      <c r="X36" s="1835"/>
      <c r="Y36" s="1835"/>
      <c r="Z36" s="1535"/>
      <c r="AA36" s="1535"/>
      <c r="AZ36" s="1893"/>
      <c r="BE36" s="1588"/>
      <c r="BF36" s="21"/>
      <c r="BG36" s="21"/>
      <c r="BH36" s="1536"/>
      <c r="BI36" s="1536"/>
      <c r="BJ36" s="436"/>
    </row>
    <row r="37" spans="14:62" s="20" customFormat="1" x14ac:dyDescent="0.2">
      <c r="N37" s="1607"/>
      <c r="Q37" s="684"/>
      <c r="R37" s="1534"/>
      <c r="T37" s="1588"/>
      <c r="U37" s="1588"/>
      <c r="V37" s="1535"/>
      <c r="W37" s="1535"/>
      <c r="X37" s="1835"/>
      <c r="Y37" s="1835"/>
      <c r="Z37" s="1535"/>
      <c r="AA37" s="1535"/>
      <c r="AZ37" s="1893"/>
      <c r="BE37" s="1588"/>
      <c r="BF37" s="21"/>
      <c r="BG37" s="21"/>
      <c r="BH37" s="1536"/>
      <c r="BI37" s="1536"/>
      <c r="BJ37" s="436"/>
    </row>
    <row r="38" spans="14:62" s="20" customFormat="1" x14ac:dyDescent="0.2">
      <c r="N38" s="1607"/>
      <c r="Q38" s="684"/>
      <c r="R38" s="1534"/>
      <c r="T38" s="1588"/>
      <c r="U38" s="1588"/>
      <c r="V38" s="1535"/>
      <c r="W38" s="1535"/>
      <c r="X38" s="1835"/>
      <c r="Y38" s="1835"/>
      <c r="Z38" s="1535"/>
      <c r="AA38" s="1535"/>
      <c r="AZ38" s="1893"/>
      <c r="BE38" s="1588"/>
      <c r="BF38" s="21"/>
      <c r="BG38" s="21"/>
      <c r="BH38" s="1536"/>
      <c r="BI38" s="1536"/>
      <c r="BJ38" s="436"/>
    </row>
    <row r="39" spans="14:62" s="20" customFormat="1" x14ac:dyDescent="0.2">
      <c r="N39" s="1607"/>
      <c r="Q39" s="684"/>
      <c r="R39" s="1534"/>
      <c r="T39" s="1588"/>
      <c r="U39" s="1588"/>
      <c r="V39" s="1535"/>
      <c r="W39" s="1535"/>
      <c r="X39" s="1835"/>
      <c r="Y39" s="1835"/>
      <c r="Z39" s="1535"/>
      <c r="AA39" s="1535"/>
      <c r="AZ39" s="1893"/>
      <c r="BE39" s="1588"/>
      <c r="BF39" s="21"/>
      <c r="BG39" s="21"/>
      <c r="BH39" s="1536"/>
      <c r="BI39" s="1536"/>
      <c r="BJ39" s="436"/>
    </row>
    <row r="40" spans="14:62" s="20" customFormat="1" x14ac:dyDescent="0.2">
      <c r="N40" s="1607"/>
      <c r="Q40" s="684"/>
      <c r="R40" s="1534"/>
      <c r="T40" s="1588"/>
      <c r="U40" s="1588"/>
      <c r="V40" s="1535"/>
      <c r="W40" s="1535"/>
      <c r="X40" s="1835"/>
      <c r="Y40" s="1835"/>
      <c r="Z40" s="1535"/>
      <c r="AA40" s="1535"/>
      <c r="AZ40" s="1893"/>
      <c r="BE40" s="1588"/>
      <c r="BF40" s="21"/>
      <c r="BG40" s="21"/>
      <c r="BH40" s="1536"/>
      <c r="BI40" s="1536"/>
      <c r="BJ40" s="436"/>
    </row>
    <row r="41" spans="14:62" s="20" customFormat="1" x14ac:dyDescent="0.2">
      <c r="N41" s="1607"/>
      <c r="Q41" s="684"/>
      <c r="R41" s="1534"/>
      <c r="T41" s="1588"/>
      <c r="U41" s="1588"/>
      <c r="V41" s="1535"/>
      <c r="W41" s="1535"/>
      <c r="X41" s="1835"/>
      <c r="Y41" s="1835"/>
      <c r="Z41" s="1535"/>
      <c r="AA41" s="1535"/>
      <c r="AZ41" s="1893"/>
      <c r="BE41" s="1588"/>
      <c r="BF41" s="21"/>
      <c r="BG41" s="21"/>
      <c r="BH41" s="1536"/>
      <c r="BI41" s="1536"/>
      <c r="BJ41" s="436"/>
    </row>
    <row r="42" spans="14:62" s="20" customFormat="1" x14ac:dyDescent="0.2">
      <c r="N42" s="1607"/>
      <c r="Q42" s="684"/>
      <c r="R42" s="1534"/>
      <c r="T42" s="1588"/>
      <c r="U42" s="1588"/>
      <c r="V42" s="1535"/>
      <c r="W42" s="1535"/>
      <c r="X42" s="1835"/>
      <c r="Y42" s="1835"/>
      <c r="Z42" s="1535"/>
      <c r="AA42" s="1535"/>
      <c r="AZ42" s="1893"/>
      <c r="BE42" s="1588"/>
      <c r="BF42" s="21"/>
      <c r="BG42" s="21"/>
      <c r="BH42" s="1536"/>
      <c r="BI42" s="1536"/>
      <c r="BJ42" s="436"/>
    </row>
    <row r="43" spans="14:62" s="20" customFormat="1" x14ac:dyDescent="0.2">
      <c r="N43" s="1607"/>
      <c r="Q43" s="684"/>
      <c r="R43" s="1534"/>
      <c r="T43" s="1588"/>
      <c r="U43" s="1588"/>
      <c r="V43" s="1535"/>
      <c r="W43" s="1535"/>
      <c r="X43" s="1835"/>
      <c r="Y43" s="1835"/>
      <c r="Z43" s="1535"/>
      <c r="AA43" s="1535"/>
      <c r="AZ43" s="1893"/>
      <c r="BE43" s="1588"/>
      <c r="BF43" s="21"/>
      <c r="BG43" s="21"/>
      <c r="BH43" s="1536"/>
      <c r="BI43" s="1536"/>
      <c r="BJ43" s="436"/>
    </row>
    <row r="44" spans="14:62" s="20" customFormat="1" x14ac:dyDescent="0.2">
      <c r="N44" s="1607"/>
      <c r="Q44" s="684"/>
      <c r="R44" s="1534"/>
      <c r="T44" s="1588"/>
      <c r="U44" s="1588"/>
      <c r="V44" s="1535"/>
      <c r="W44" s="1535"/>
      <c r="X44" s="1835"/>
      <c r="Y44" s="1835"/>
      <c r="Z44" s="1535"/>
      <c r="AA44" s="1535"/>
      <c r="AZ44" s="1893"/>
      <c r="BE44" s="1588"/>
      <c r="BF44" s="21"/>
      <c r="BG44" s="21"/>
      <c r="BH44" s="1536"/>
      <c r="BI44" s="1536"/>
      <c r="BJ44" s="436"/>
    </row>
    <row r="45" spans="14:62" s="20" customFormat="1" x14ac:dyDescent="0.2">
      <c r="N45" s="1607"/>
      <c r="Q45" s="684"/>
      <c r="R45" s="1534"/>
      <c r="T45" s="1588"/>
      <c r="U45" s="1588"/>
      <c r="V45" s="1535"/>
      <c r="W45" s="1535"/>
      <c r="X45" s="1835"/>
      <c r="Y45" s="1835"/>
      <c r="Z45" s="1535"/>
      <c r="AA45" s="1535"/>
      <c r="AZ45" s="1893"/>
      <c r="BE45" s="1588"/>
      <c r="BF45" s="21"/>
      <c r="BG45" s="21"/>
      <c r="BH45" s="1536"/>
      <c r="BI45" s="1536"/>
      <c r="BJ45" s="436"/>
    </row>
    <row r="46" spans="14:62" s="20" customFormat="1" x14ac:dyDescent="0.2">
      <c r="N46" s="1607"/>
      <c r="Q46" s="684"/>
      <c r="R46" s="1534"/>
      <c r="T46" s="1588"/>
      <c r="U46" s="1588"/>
      <c r="V46" s="1535"/>
      <c r="W46" s="1535"/>
      <c r="X46" s="1835"/>
      <c r="Y46" s="1835"/>
      <c r="Z46" s="1535"/>
      <c r="AA46" s="1535"/>
      <c r="AZ46" s="1893"/>
      <c r="BE46" s="1588"/>
      <c r="BF46" s="21"/>
      <c r="BG46" s="21"/>
      <c r="BH46" s="1536"/>
      <c r="BI46" s="1536"/>
      <c r="BJ46" s="436"/>
    </row>
    <row r="47" spans="14:62" s="20" customFormat="1" x14ac:dyDescent="0.2">
      <c r="N47" s="1607"/>
      <c r="Q47" s="684"/>
      <c r="R47" s="1534"/>
      <c r="T47" s="1588"/>
      <c r="U47" s="1588"/>
      <c r="V47" s="1535"/>
      <c r="W47" s="1535"/>
      <c r="X47" s="1835"/>
      <c r="Y47" s="1835"/>
      <c r="Z47" s="1535"/>
      <c r="AA47" s="1535"/>
      <c r="AZ47" s="1893"/>
      <c r="BE47" s="1588"/>
      <c r="BF47" s="21"/>
      <c r="BG47" s="21"/>
      <c r="BH47" s="1536"/>
      <c r="BI47" s="1536"/>
      <c r="BJ47" s="436"/>
    </row>
    <row r="48" spans="14:62" s="20" customFormat="1" x14ac:dyDescent="0.2">
      <c r="N48" s="1607"/>
      <c r="Q48" s="684"/>
      <c r="R48" s="1534"/>
      <c r="T48" s="1588"/>
      <c r="U48" s="1588"/>
      <c r="V48" s="1535"/>
      <c r="W48" s="1535"/>
      <c r="X48" s="1835"/>
      <c r="Y48" s="1835"/>
      <c r="Z48" s="1535"/>
      <c r="AA48" s="1535"/>
      <c r="AZ48" s="1893"/>
      <c r="BE48" s="1588"/>
      <c r="BF48" s="21"/>
      <c r="BG48" s="21"/>
      <c r="BH48" s="1536"/>
      <c r="BI48" s="1536"/>
      <c r="BJ48" s="436"/>
    </row>
    <row r="49" spans="14:62" s="20" customFormat="1" x14ac:dyDescent="0.2">
      <c r="N49" s="1607"/>
      <c r="Q49" s="684"/>
      <c r="R49" s="1534"/>
      <c r="T49" s="1588"/>
      <c r="U49" s="1588"/>
      <c r="V49" s="1535"/>
      <c r="W49" s="1535"/>
      <c r="X49" s="1835"/>
      <c r="Y49" s="1835"/>
      <c r="Z49" s="1535"/>
      <c r="AA49" s="1535"/>
      <c r="AZ49" s="1893"/>
      <c r="BE49" s="1588"/>
      <c r="BF49" s="21"/>
      <c r="BG49" s="21"/>
      <c r="BH49" s="1536"/>
      <c r="BI49" s="1536"/>
      <c r="BJ49" s="436"/>
    </row>
    <row r="50" spans="14:62" s="20" customFormat="1" x14ac:dyDescent="0.2">
      <c r="N50" s="1607"/>
      <c r="Q50" s="684"/>
      <c r="R50" s="1534"/>
      <c r="T50" s="1588"/>
      <c r="U50" s="1588"/>
      <c r="V50" s="1535"/>
      <c r="W50" s="1535"/>
      <c r="X50" s="1835"/>
      <c r="Y50" s="1835"/>
      <c r="Z50" s="1535"/>
      <c r="AA50" s="1535"/>
      <c r="AZ50" s="1893"/>
      <c r="BE50" s="1588"/>
      <c r="BF50" s="21"/>
      <c r="BG50" s="21"/>
      <c r="BH50" s="1536"/>
      <c r="BI50" s="1536"/>
      <c r="BJ50" s="436"/>
    </row>
    <row r="51" spans="14:62" s="20" customFormat="1" x14ac:dyDescent="0.2">
      <c r="N51" s="1607"/>
      <c r="Q51" s="684"/>
      <c r="R51" s="1534"/>
      <c r="T51" s="1588"/>
      <c r="U51" s="1588"/>
      <c r="V51" s="1535"/>
      <c r="W51" s="1535"/>
      <c r="X51" s="1835"/>
      <c r="Y51" s="1835"/>
      <c r="Z51" s="1535"/>
      <c r="AA51" s="1535"/>
      <c r="AZ51" s="1893"/>
      <c r="BE51" s="1588"/>
      <c r="BF51" s="21"/>
      <c r="BG51" s="21"/>
      <c r="BH51" s="1536"/>
      <c r="BI51" s="1536"/>
      <c r="BJ51" s="436"/>
    </row>
    <row r="52" spans="14:62" s="20" customFormat="1" x14ac:dyDescent="0.2">
      <c r="N52" s="1607"/>
      <c r="Q52" s="684"/>
      <c r="R52" s="1534"/>
      <c r="T52" s="1588"/>
      <c r="U52" s="1588"/>
      <c r="V52" s="1535"/>
      <c r="W52" s="1535"/>
      <c r="X52" s="1835"/>
      <c r="Y52" s="1835"/>
      <c r="Z52" s="1535"/>
      <c r="AA52" s="1535"/>
      <c r="AZ52" s="1893"/>
      <c r="BE52" s="1588"/>
      <c r="BF52" s="21"/>
      <c r="BG52" s="21"/>
      <c r="BH52" s="1536"/>
      <c r="BI52" s="1536"/>
      <c r="BJ52" s="436"/>
    </row>
    <row r="53" spans="14:62" s="20" customFormat="1" x14ac:dyDescent="0.2">
      <c r="N53" s="1607"/>
      <c r="Q53" s="684"/>
      <c r="R53" s="1534"/>
      <c r="T53" s="1588"/>
      <c r="U53" s="1588"/>
      <c r="V53" s="1535"/>
      <c r="W53" s="1535"/>
      <c r="X53" s="1835"/>
      <c r="Y53" s="1835"/>
      <c r="Z53" s="1535"/>
      <c r="AA53" s="1535"/>
      <c r="AZ53" s="1893"/>
      <c r="BE53" s="1588"/>
      <c r="BF53" s="21"/>
      <c r="BG53" s="21"/>
      <c r="BH53" s="1536"/>
      <c r="BI53" s="1536"/>
      <c r="BJ53" s="436"/>
    </row>
    <row r="54" spans="14:62" s="20" customFormat="1" x14ac:dyDescent="0.2">
      <c r="N54" s="1607"/>
      <c r="Q54" s="684"/>
      <c r="R54" s="1534"/>
      <c r="T54" s="1588"/>
      <c r="U54" s="1588"/>
      <c r="V54" s="1535"/>
      <c r="W54" s="1535"/>
      <c r="X54" s="1835"/>
      <c r="Y54" s="1835"/>
      <c r="Z54" s="1535"/>
      <c r="AA54" s="1535"/>
      <c r="AZ54" s="1893"/>
      <c r="BE54" s="1588"/>
      <c r="BF54" s="21"/>
      <c r="BG54" s="21"/>
      <c r="BH54" s="1536"/>
      <c r="BI54" s="1536"/>
      <c r="BJ54" s="436"/>
    </row>
    <row r="55" spans="14:62" s="20" customFormat="1" x14ac:dyDescent="0.2">
      <c r="N55" s="1607"/>
      <c r="Q55" s="684"/>
      <c r="R55" s="1534"/>
      <c r="T55" s="1588"/>
      <c r="U55" s="1588"/>
      <c r="V55" s="1535"/>
      <c r="W55" s="1535"/>
      <c r="X55" s="1835"/>
      <c r="Y55" s="1835"/>
      <c r="Z55" s="1535"/>
      <c r="AA55" s="1535"/>
      <c r="AZ55" s="1893"/>
      <c r="BE55" s="1588"/>
      <c r="BF55" s="21"/>
      <c r="BG55" s="21"/>
      <c r="BH55" s="1536"/>
      <c r="BI55" s="1536"/>
      <c r="BJ55" s="436"/>
    </row>
    <row r="56" spans="14:62" s="20" customFormat="1" x14ac:dyDescent="0.2">
      <c r="N56" s="1607"/>
      <c r="Q56" s="684"/>
      <c r="R56" s="1534"/>
      <c r="T56" s="1588"/>
      <c r="U56" s="1588"/>
      <c r="V56" s="1535"/>
      <c r="W56" s="1535"/>
      <c r="X56" s="1835"/>
      <c r="Y56" s="1835"/>
      <c r="Z56" s="1535"/>
      <c r="AA56" s="1535"/>
      <c r="AZ56" s="1893"/>
      <c r="BE56" s="1588"/>
      <c r="BF56" s="21"/>
      <c r="BG56" s="21"/>
      <c r="BH56" s="1536"/>
      <c r="BI56" s="1536"/>
      <c r="BJ56" s="436"/>
    </row>
    <row r="57" spans="14:62" s="20" customFormat="1" x14ac:dyDescent="0.2">
      <c r="N57" s="1607"/>
      <c r="Q57" s="684"/>
      <c r="R57" s="1534"/>
      <c r="T57" s="1588"/>
      <c r="U57" s="1588"/>
      <c r="V57" s="1535"/>
      <c r="W57" s="1535"/>
      <c r="X57" s="1835"/>
      <c r="Y57" s="1835"/>
      <c r="Z57" s="1535"/>
      <c r="AA57" s="1535"/>
      <c r="AZ57" s="1893"/>
      <c r="BE57" s="1588"/>
      <c r="BF57" s="21"/>
      <c r="BG57" s="21"/>
      <c r="BH57" s="1536"/>
      <c r="BI57" s="1536"/>
      <c r="BJ57" s="436"/>
    </row>
    <row r="58" spans="14:62" s="20" customFormat="1" x14ac:dyDescent="0.2">
      <c r="N58" s="1607"/>
      <c r="Q58" s="684"/>
      <c r="R58" s="1534"/>
      <c r="T58" s="1588"/>
      <c r="U58" s="1588"/>
      <c r="V58" s="1535"/>
      <c r="W58" s="1535"/>
      <c r="X58" s="1835"/>
      <c r="Y58" s="1835"/>
      <c r="Z58" s="1535"/>
      <c r="AA58" s="1535"/>
      <c r="AZ58" s="1893"/>
      <c r="BE58" s="1588"/>
      <c r="BF58" s="21"/>
      <c r="BG58" s="21"/>
      <c r="BH58" s="1536"/>
      <c r="BI58" s="1536"/>
      <c r="BJ58" s="436"/>
    </row>
    <row r="59" spans="14:62" s="20" customFormat="1" x14ac:dyDescent="0.2">
      <c r="N59" s="1607"/>
      <c r="Q59" s="684"/>
      <c r="R59" s="1534"/>
      <c r="T59" s="1588"/>
      <c r="U59" s="1588"/>
      <c r="V59" s="1535"/>
      <c r="W59" s="1535"/>
      <c r="X59" s="1835"/>
      <c r="Y59" s="1835"/>
      <c r="Z59" s="1535"/>
      <c r="AA59" s="1535"/>
      <c r="AZ59" s="1893"/>
      <c r="BE59" s="1588"/>
      <c r="BF59" s="21"/>
      <c r="BG59" s="21"/>
      <c r="BH59" s="1536"/>
      <c r="BI59" s="1536"/>
      <c r="BJ59" s="436"/>
    </row>
    <row r="60" spans="14:62" s="20" customFormat="1" x14ac:dyDescent="0.2">
      <c r="N60" s="1607"/>
      <c r="Q60" s="684"/>
      <c r="R60" s="1534"/>
      <c r="T60" s="1588"/>
      <c r="U60" s="1588"/>
      <c r="V60" s="1535"/>
      <c r="W60" s="1535"/>
      <c r="X60" s="1835"/>
      <c r="Y60" s="1835"/>
      <c r="Z60" s="1535"/>
      <c r="AA60" s="1535"/>
      <c r="AZ60" s="1893"/>
      <c r="BE60" s="1588"/>
      <c r="BF60" s="21"/>
      <c r="BG60" s="21"/>
      <c r="BH60" s="1536"/>
      <c r="BI60" s="1536"/>
      <c r="BJ60" s="436"/>
    </row>
    <row r="61" spans="14:62" s="20" customFormat="1" x14ac:dyDescent="0.2">
      <c r="N61" s="1607"/>
      <c r="Q61" s="684"/>
      <c r="R61" s="1534"/>
      <c r="T61" s="1588"/>
      <c r="U61" s="1588"/>
      <c r="V61" s="1535"/>
      <c r="W61" s="1535"/>
      <c r="X61" s="1835"/>
      <c r="Y61" s="1835"/>
      <c r="Z61" s="1535"/>
      <c r="AA61" s="1535"/>
      <c r="AZ61" s="1893"/>
      <c r="BE61" s="1588"/>
      <c r="BF61" s="21"/>
      <c r="BG61" s="21"/>
      <c r="BH61" s="1536"/>
      <c r="BI61" s="1536"/>
      <c r="BJ61" s="436"/>
    </row>
    <row r="62" spans="14:62" s="20" customFormat="1" x14ac:dyDescent="0.2">
      <c r="N62" s="1607"/>
      <c r="Q62" s="684"/>
      <c r="R62" s="1534"/>
      <c r="T62" s="1588"/>
      <c r="U62" s="1588"/>
      <c r="V62" s="1535"/>
      <c r="W62" s="1535"/>
      <c r="X62" s="1835"/>
      <c r="Y62" s="1835"/>
      <c r="Z62" s="1535"/>
      <c r="AA62" s="1535"/>
      <c r="AZ62" s="1893"/>
      <c r="BE62" s="1588"/>
      <c r="BF62" s="21"/>
      <c r="BG62" s="21"/>
      <c r="BH62" s="1536"/>
      <c r="BI62" s="1536"/>
      <c r="BJ62" s="436"/>
    </row>
    <row r="63" spans="14:62" s="20" customFormat="1" x14ac:dyDescent="0.2">
      <c r="N63" s="1607"/>
      <c r="Q63" s="684"/>
      <c r="R63" s="1534"/>
      <c r="T63" s="1588"/>
      <c r="U63" s="1588"/>
      <c r="V63" s="1535"/>
      <c r="W63" s="1535"/>
      <c r="X63" s="1835"/>
      <c r="Y63" s="1835"/>
      <c r="Z63" s="1535"/>
      <c r="AA63" s="1535"/>
      <c r="AZ63" s="1893"/>
      <c r="BE63" s="1588"/>
      <c r="BF63" s="21"/>
      <c r="BG63" s="21"/>
      <c r="BH63" s="1536"/>
      <c r="BI63" s="1536"/>
      <c r="BJ63" s="436"/>
    </row>
    <row r="64" spans="14:62" s="20" customFormat="1" x14ac:dyDescent="0.2">
      <c r="N64" s="1607"/>
      <c r="Q64" s="684"/>
      <c r="R64" s="1534"/>
      <c r="T64" s="1588"/>
      <c r="U64" s="1588"/>
      <c r="V64" s="1535"/>
      <c r="W64" s="1535"/>
      <c r="X64" s="1835"/>
      <c r="Y64" s="1835"/>
      <c r="Z64" s="1535"/>
      <c r="AA64" s="1535"/>
      <c r="AZ64" s="1893"/>
      <c r="BE64" s="1588"/>
      <c r="BF64" s="21"/>
      <c r="BG64" s="21"/>
      <c r="BH64" s="1536"/>
      <c r="BI64" s="1536"/>
      <c r="BJ64" s="436"/>
    </row>
    <row r="65" spans="14:62" s="20" customFormat="1" x14ac:dyDescent="0.2">
      <c r="N65" s="1607"/>
      <c r="Q65" s="684"/>
      <c r="R65" s="1534"/>
      <c r="T65" s="1588"/>
      <c r="U65" s="1588"/>
      <c r="V65" s="1535"/>
      <c r="W65" s="1535"/>
      <c r="X65" s="1835"/>
      <c r="Y65" s="1835"/>
      <c r="Z65" s="1535"/>
      <c r="AA65" s="1535"/>
      <c r="AZ65" s="1893"/>
      <c r="BE65" s="1588"/>
      <c r="BF65" s="21"/>
      <c r="BG65" s="21"/>
      <c r="BH65" s="1536"/>
      <c r="BI65" s="1536"/>
      <c r="BJ65" s="436"/>
    </row>
    <row r="66" spans="14:62" s="20" customFormat="1" x14ac:dyDescent="0.2">
      <c r="N66" s="1607"/>
      <c r="Q66" s="684"/>
      <c r="R66" s="1534"/>
      <c r="T66" s="1588"/>
      <c r="U66" s="1588"/>
      <c r="V66" s="1535"/>
      <c r="W66" s="1535"/>
      <c r="X66" s="1835"/>
      <c r="Y66" s="1835"/>
      <c r="Z66" s="1535"/>
      <c r="AA66" s="1535"/>
      <c r="AZ66" s="1893"/>
      <c r="BE66" s="1588"/>
      <c r="BF66" s="21"/>
      <c r="BG66" s="21"/>
      <c r="BH66" s="1536"/>
      <c r="BI66" s="1536"/>
      <c r="BJ66" s="436"/>
    </row>
    <row r="67" spans="14:62" s="20" customFormat="1" x14ac:dyDescent="0.2">
      <c r="N67" s="1607"/>
      <c r="Q67" s="684"/>
      <c r="R67" s="1534"/>
      <c r="T67" s="1588"/>
      <c r="U67" s="1588"/>
      <c r="V67" s="1535"/>
      <c r="W67" s="1535"/>
      <c r="X67" s="1835"/>
      <c r="Y67" s="1835"/>
      <c r="Z67" s="1535"/>
      <c r="AA67" s="1535"/>
      <c r="AZ67" s="1893"/>
      <c r="BE67" s="1588"/>
      <c r="BF67" s="21"/>
      <c r="BG67" s="21"/>
      <c r="BH67" s="1536"/>
      <c r="BI67" s="1536"/>
      <c r="BJ67" s="436"/>
    </row>
    <row r="68" spans="14:62" s="20" customFormat="1" x14ac:dyDescent="0.2">
      <c r="N68" s="1607"/>
      <c r="Q68" s="684"/>
      <c r="R68" s="1534"/>
      <c r="T68" s="1588"/>
      <c r="U68" s="1588"/>
      <c r="V68" s="1535"/>
      <c r="W68" s="1535"/>
      <c r="X68" s="1835"/>
      <c r="Y68" s="1835"/>
      <c r="Z68" s="1535"/>
      <c r="AA68" s="1535"/>
      <c r="AZ68" s="1893"/>
      <c r="BE68" s="1588"/>
      <c r="BF68" s="21"/>
      <c r="BG68" s="21"/>
      <c r="BH68" s="1536"/>
      <c r="BI68" s="1536"/>
      <c r="BJ68" s="436"/>
    </row>
    <row r="69" spans="14:62" s="20" customFormat="1" x14ac:dyDescent="0.2">
      <c r="N69" s="1607"/>
      <c r="Q69" s="684"/>
      <c r="R69" s="1534"/>
      <c r="T69" s="1588"/>
      <c r="U69" s="1588"/>
      <c r="V69" s="1535"/>
      <c r="W69" s="1535"/>
      <c r="X69" s="1835"/>
      <c r="Y69" s="1835"/>
      <c r="Z69" s="1535"/>
      <c r="AA69" s="1535"/>
      <c r="AZ69" s="1893"/>
      <c r="BE69" s="1588"/>
      <c r="BF69" s="21"/>
      <c r="BG69" s="21"/>
      <c r="BH69" s="1536"/>
      <c r="BI69" s="1536"/>
      <c r="BJ69" s="436"/>
    </row>
    <row r="70" spans="14:62" s="20" customFormat="1" x14ac:dyDescent="0.2">
      <c r="N70" s="1607"/>
      <c r="Q70" s="684"/>
      <c r="R70" s="1534"/>
      <c r="T70" s="1588"/>
      <c r="U70" s="1588"/>
      <c r="V70" s="1535"/>
      <c r="W70" s="1535"/>
      <c r="X70" s="1835"/>
      <c r="Y70" s="1835"/>
      <c r="Z70" s="1535"/>
      <c r="AA70" s="1535"/>
      <c r="AZ70" s="1893"/>
      <c r="BE70" s="1588"/>
      <c r="BF70" s="21"/>
      <c r="BG70" s="21"/>
      <c r="BH70" s="1536"/>
      <c r="BI70" s="1536"/>
      <c r="BJ70" s="436"/>
    </row>
    <row r="71" spans="14:62" s="20" customFormat="1" x14ac:dyDescent="0.2">
      <c r="N71" s="1607"/>
      <c r="Q71" s="684"/>
      <c r="R71" s="1534"/>
      <c r="T71" s="1588"/>
      <c r="U71" s="1588"/>
      <c r="V71" s="1535"/>
      <c r="W71" s="1535"/>
      <c r="X71" s="1835"/>
      <c r="Y71" s="1835"/>
      <c r="Z71" s="1535"/>
      <c r="AA71" s="1535"/>
      <c r="AZ71" s="1893"/>
      <c r="BE71" s="1588"/>
      <c r="BF71" s="21"/>
      <c r="BG71" s="21"/>
      <c r="BH71" s="1536"/>
      <c r="BI71" s="1536"/>
      <c r="BJ71" s="436"/>
    </row>
    <row r="72" spans="14:62" s="20" customFormat="1" x14ac:dyDescent="0.2">
      <c r="N72" s="1607"/>
      <c r="Q72" s="684"/>
      <c r="R72" s="1534"/>
      <c r="T72" s="1588"/>
      <c r="U72" s="1588"/>
      <c r="V72" s="1535"/>
      <c r="W72" s="1535"/>
      <c r="X72" s="1835"/>
      <c r="Y72" s="1835"/>
      <c r="Z72" s="1535"/>
      <c r="AA72" s="1535"/>
      <c r="AZ72" s="1893"/>
      <c r="BE72" s="1588"/>
      <c r="BF72" s="21"/>
      <c r="BG72" s="21"/>
      <c r="BH72" s="1536"/>
      <c r="BI72" s="1536"/>
      <c r="BJ72" s="436"/>
    </row>
    <row r="73" spans="14:62" s="20" customFormat="1" x14ac:dyDescent="0.2">
      <c r="N73" s="1607"/>
      <c r="Q73" s="684"/>
      <c r="R73" s="1534"/>
      <c r="T73" s="1588"/>
      <c r="U73" s="1588"/>
      <c r="V73" s="1535"/>
      <c r="W73" s="1535"/>
      <c r="X73" s="1835"/>
      <c r="Y73" s="1835"/>
      <c r="Z73" s="1535"/>
      <c r="AA73" s="1535"/>
      <c r="AZ73" s="1893"/>
      <c r="BE73" s="1588"/>
      <c r="BF73" s="21"/>
      <c r="BG73" s="21"/>
      <c r="BH73" s="1536"/>
      <c r="BI73" s="1536"/>
      <c r="BJ73" s="436"/>
    </row>
    <row r="74" spans="14:62" s="20" customFormat="1" x14ac:dyDescent="0.2">
      <c r="N74" s="1607"/>
      <c r="Q74" s="684"/>
      <c r="R74" s="1534"/>
      <c r="T74" s="1588"/>
      <c r="U74" s="1588"/>
      <c r="V74" s="1535"/>
      <c r="W74" s="1535"/>
      <c r="X74" s="1835"/>
      <c r="Y74" s="1835"/>
      <c r="Z74" s="1535"/>
      <c r="AA74" s="1535"/>
      <c r="AZ74" s="1893"/>
      <c r="BE74" s="1588"/>
      <c r="BF74" s="21"/>
      <c r="BG74" s="21"/>
      <c r="BH74" s="1536"/>
      <c r="BI74" s="1536"/>
      <c r="BJ74" s="436"/>
    </row>
    <row r="75" spans="14:62" s="20" customFormat="1" x14ac:dyDescent="0.2">
      <c r="N75" s="1607"/>
      <c r="Q75" s="684"/>
      <c r="R75" s="1534"/>
      <c r="T75" s="1588"/>
      <c r="U75" s="1588"/>
      <c r="V75" s="1535"/>
      <c r="W75" s="1535"/>
      <c r="X75" s="1835"/>
      <c r="Y75" s="1835"/>
      <c r="Z75" s="1535"/>
      <c r="AA75" s="1535"/>
      <c r="AZ75" s="1893"/>
      <c r="BE75" s="1588"/>
      <c r="BF75" s="21"/>
      <c r="BG75" s="21"/>
      <c r="BH75" s="1536"/>
      <c r="BI75" s="1536"/>
      <c r="BJ75" s="436"/>
    </row>
    <row r="76" spans="14:62" s="20" customFormat="1" x14ac:dyDescent="0.2">
      <c r="N76" s="1607"/>
      <c r="Q76" s="684"/>
      <c r="R76" s="1534"/>
      <c r="T76" s="1588"/>
      <c r="U76" s="1588"/>
      <c r="V76" s="1535"/>
      <c r="W76" s="1535"/>
      <c r="X76" s="1835"/>
      <c r="Y76" s="1835"/>
      <c r="Z76" s="1535"/>
      <c r="AA76" s="1535"/>
      <c r="AZ76" s="1893"/>
      <c r="BE76" s="1588"/>
      <c r="BF76" s="21"/>
      <c r="BG76" s="21"/>
      <c r="BH76" s="1536"/>
      <c r="BI76" s="1536"/>
      <c r="BJ76" s="436"/>
    </row>
    <row r="77" spans="14:62" s="20" customFormat="1" x14ac:dyDescent="0.2">
      <c r="N77" s="1607"/>
      <c r="Q77" s="684"/>
      <c r="R77" s="1534"/>
      <c r="T77" s="1588"/>
      <c r="U77" s="1588"/>
      <c r="V77" s="1535"/>
      <c r="W77" s="1535"/>
      <c r="X77" s="1835"/>
      <c r="Y77" s="1835"/>
      <c r="Z77" s="1535"/>
      <c r="AA77" s="1535"/>
      <c r="AZ77" s="1893"/>
      <c r="BE77" s="1588"/>
      <c r="BF77" s="21"/>
      <c r="BG77" s="21"/>
      <c r="BH77" s="1536"/>
      <c r="BI77" s="1536"/>
      <c r="BJ77" s="436"/>
    </row>
    <row r="78" spans="14:62" s="20" customFormat="1" x14ac:dyDescent="0.2">
      <c r="N78" s="1607"/>
      <c r="Q78" s="684"/>
      <c r="R78" s="1534"/>
      <c r="T78" s="1588"/>
      <c r="U78" s="1588"/>
      <c r="V78" s="1535"/>
      <c r="W78" s="1535"/>
      <c r="X78" s="1835"/>
      <c r="Y78" s="1835"/>
      <c r="Z78" s="1535"/>
      <c r="AA78" s="1535"/>
      <c r="AZ78" s="1893"/>
      <c r="BE78" s="1588"/>
      <c r="BF78" s="21"/>
      <c r="BG78" s="21"/>
      <c r="BH78" s="1536"/>
      <c r="BI78" s="1536"/>
      <c r="BJ78" s="436"/>
    </row>
    <row r="79" spans="14:62" s="20" customFormat="1" x14ac:dyDescent="0.2">
      <c r="N79" s="1607"/>
      <c r="Q79" s="684"/>
      <c r="R79" s="1534"/>
      <c r="T79" s="1588"/>
      <c r="U79" s="1588"/>
      <c r="V79" s="1535"/>
      <c r="W79" s="1535"/>
      <c r="X79" s="1835"/>
      <c r="Y79" s="1835"/>
      <c r="Z79" s="1535"/>
      <c r="AA79" s="1535"/>
      <c r="AZ79" s="1893"/>
      <c r="BE79" s="1588"/>
      <c r="BF79" s="21"/>
      <c r="BG79" s="21"/>
      <c r="BH79" s="1536"/>
      <c r="BI79" s="1536"/>
      <c r="BJ79" s="436"/>
    </row>
    <row r="80" spans="14:62" s="20" customFormat="1" x14ac:dyDescent="0.2">
      <c r="N80" s="1607"/>
      <c r="Q80" s="684"/>
      <c r="R80" s="1534"/>
      <c r="T80" s="1588"/>
      <c r="U80" s="1588"/>
      <c r="V80" s="1535"/>
      <c r="W80" s="1535"/>
      <c r="X80" s="1835"/>
      <c r="Y80" s="1835"/>
      <c r="Z80" s="1535"/>
      <c r="AA80" s="1535"/>
      <c r="AZ80" s="1893"/>
      <c r="BE80" s="1588"/>
      <c r="BF80" s="21"/>
      <c r="BG80" s="21"/>
      <c r="BH80" s="1536"/>
      <c r="BI80" s="1536"/>
      <c r="BJ80" s="436"/>
    </row>
    <row r="81" spans="14:62" s="20" customFormat="1" x14ac:dyDescent="0.2">
      <c r="N81" s="1607"/>
      <c r="Q81" s="684"/>
      <c r="R81" s="1534"/>
      <c r="T81" s="1588"/>
      <c r="U81" s="1588"/>
      <c r="V81" s="1535"/>
      <c r="W81" s="1535"/>
      <c r="X81" s="1835"/>
      <c r="Y81" s="1835"/>
      <c r="Z81" s="1535"/>
      <c r="AA81" s="1535"/>
      <c r="AZ81" s="1893"/>
      <c r="BE81" s="1588"/>
      <c r="BF81" s="21"/>
      <c r="BG81" s="21"/>
      <c r="BH81" s="1536"/>
      <c r="BI81" s="1536"/>
      <c r="BJ81" s="436"/>
    </row>
    <row r="82" spans="14:62" s="20" customFormat="1" x14ac:dyDescent="0.2">
      <c r="N82" s="1607"/>
      <c r="Q82" s="684"/>
      <c r="R82" s="1534"/>
      <c r="T82" s="1588"/>
      <c r="U82" s="1588"/>
      <c r="V82" s="1535"/>
      <c r="W82" s="1535"/>
      <c r="X82" s="1835"/>
      <c r="Y82" s="1835"/>
      <c r="Z82" s="1535"/>
      <c r="AA82" s="1535"/>
      <c r="AZ82" s="1893"/>
      <c r="BE82" s="1588"/>
      <c r="BF82" s="21"/>
      <c r="BG82" s="21"/>
      <c r="BH82" s="1536"/>
      <c r="BI82" s="1536"/>
      <c r="BJ82" s="436"/>
    </row>
    <row r="83" spans="14:62" s="20" customFormat="1" x14ac:dyDescent="0.2">
      <c r="N83" s="1607"/>
      <c r="Q83" s="684"/>
      <c r="R83" s="1534"/>
      <c r="T83" s="1588"/>
      <c r="U83" s="1588"/>
      <c r="V83" s="1535"/>
      <c r="W83" s="1535"/>
      <c r="X83" s="1835"/>
      <c r="Y83" s="1835"/>
      <c r="Z83" s="1535"/>
      <c r="AA83" s="1535"/>
      <c r="AZ83" s="1893"/>
      <c r="BE83" s="1588"/>
      <c r="BF83" s="21"/>
      <c r="BG83" s="21"/>
      <c r="BH83" s="1536"/>
      <c r="BI83" s="1536"/>
      <c r="BJ83" s="436"/>
    </row>
    <row r="84" spans="14:62" s="20" customFormat="1" x14ac:dyDescent="0.2">
      <c r="N84" s="1607"/>
      <c r="Q84" s="684"/>
      <c r="R84" s="1534"/>
      <c r="T84" s="1588"/>
      <c r="U84" s="1588"/>
      <c r="V84" s="1535"/>
      <c r="W84" s="1535"/>
      <c r="X84" s="1835"/>
      <c r="Y84" s="1835"/>
      <c r="Z84" s="1535"/>
      <c r="AA84" s="1535"/>
      <c r="AZ84" s="1893"/>
      <c r="BE84" s="1588"/>
      <c r="BF84" s="21"/>
      <c r="BG84" s="21"/>
      <c r="BH84" s="1536"/>
      <c r="BI84" s="1536"/>
      <c r="BJ84" s="436"/>
    </row>
    <row r="85" spans="14:62" s="20" customFormat="1" x14ac:dyDescent="0.2">
      <c r="N85" s="1607"/>
      <c r="Q85" s="684"/>
      <c r="R85" s="1534"/>
      <c r="T85" s="1588"/>
      <c r="U85" s="1588"/>
      <c r="V85" s="1535"/>
      <c r="W85" s="1535"/>
      <c r="X85" s="1835"/>
      <c r="Y85" s="1835"/>
      <c r="Z85" s="1535"/>
      <c r="AA85" s="1535"/>
      <c r="AZ85" s="1893"/>
      <c r="BE85" s="1588"/>
      <c r="BF85" s="21"/>
      <c r="BG85" s="21"/>
      <c r="BH85" s="1536"/>
      <c r="BI85" s="1536"/>
      <c r="BJ85" s="436"/>
    </row>
    <row r="86" spans="14:62" s="20" customFormat="1" x14ac:dyDescent="0.2">
      <c r="N86" s="1607"/>
      <c r="Q86" s="684"/>
      <c r="R86" s="1534"/>
      <c r="T86" s="1588"/>
      <c r="U86" s="1588"/>
      <c r="V86" s="1535"/>
      <c r="W86" s="1535"/>
      <c r="X86" s="1835"/>
      <c r="Y86" s="1835"/>
      <c r="Z86" s="1535"/>
      <c r="AA86" s="1535"/>
      <c r="AZ86" s="1893"/>
      <c r="BE86" s="1588"/>
      <c r="BF86" s="21"/>
      <c r="BG86" s="21"/>
      <c r="BH86" s="1536"/>
      <c r="BI86" s="1536"/>
      <c r="BJ86" s="436"/>
    </row>
    <row r="87" spans="14:62" s="20" customFormat="1" x14ac:dyDescent="0.2">
      <c r="N87" s="1607"/>
      <c r="Q87" s="684"/>
      <c r="R87" s="1534"/>
      <c r="T87" s="1588"/>
      <c r="U87" s="1588"/>
      <c r="V87" s="1535"/>
      <c r="W87" s="1535"/>
      <c r="X87" s="1835"/>
      <c r="Y87" s="1835"/>
      <c r="Z87" s="1535"/>
      <c r="AA87" s="1535"/>
      <c r="AZ87" s="1893"/>
      <c r="BE87" s="1588"/>
      <c r="BF87" s="21"/>
      <c r="BG87" s="21"/>
      <c r="BH87" s="1536"/>
      <c r="BI87" s="1536"/>
      <c r="BJ87" s="436"/>
    </row>
    <row r="88" spans="14:62" s="20" customFormat="1" x14ac:dyDescent="0.2">
      <c r="N88" s="1607"/>
      <c r="Q88" s="684"/>
      <c r="R88" s="1534"/>
      <c r="T88" s="1588"/>
      <c r="U88" s="1588"/>
      <c r="V88" s="1535"/>
      <c r="W88" s="1535"/>
      <c r="X88" s="1835"/>
      <c r="Y88" s="1835"/>
      <c r="Z88" s="1535"/>
      <c r="AA88" s="1535"/>
      <c r="AZ88" s="1893"/>
      <c r="BE88" s="1588"/>
      <c r="BF88" s="21"/>
      <c r="BG88" s="21"/>
      <c r="BH88" s="1536"/>
      <c r="BI88" s="1536"/>
      <c r="BJ88" s="436"/>
    </row>
    <row r="89" spans="14:62" s="20" customFormat="1" x14ac:dyDescent="0.2">
      <c r="N89" s="1607"/>
      <c r="Q89" s="684"/>
      <c r="R89" s="1534"/>
      <c r="T89" s="1588"/>
      <c r="U89" s="1588"/>
      <c r="V89" s="1535"/>
      <c r="W89" s="1535"/>
      <c r="X89" s="1835"/>
      <c r="Y89" s="1835"/>
      <c r="Z89" s="1535"/>
      <c r="AA89" s="1535"/>
      <c r="AZ89" s="1893"/>
      <c r="BE89" s="1588"/>
      <c r="BF89" s="21"/>
      <c r="BG89" s="21"/>
      <c r="BH89" s="1536"/>
      <c r="BI89" s="1536"/>
      <c r="BJ89" s="436"/>
    </row>
    <row r="90" spans="14:62" s="20" customFormat="1" x14ac:dyDescent="0.2">
      <c r="N90" s="1607"/>
      <c r="Q90" s="684"/>
      <c r="R90" s="1534"/>
      <c r="T90" s="1588"/>
      <c r="U90" s="1588"/>
      <c r="V90" s="1535"/>
      <c r="W90" s="1535"/>
      <c r="X90" s="1835"/>
      <c r="Y90" s="1835"/>
      <c r="Z90" s="1535"/>
      <c r="AA90" s="1535"/>
      <c r="AZ90" s="1893"/>
      <c r="BE90" s="1588"/>
      <c r="BF90" s="21"/>
      <c r="BG90" s="21"/>
      <c r="BH90" s="1536"/>
      <c r="BI90" s="1536"/>
      <c r="BJ90" s="436"/>
    </row>
    <row r="91" spans="14:62" s="20" customFormat="1" x14ac:dyDescent="0.2">
      <c r="N91" s="1607"/>
      <c r="Q91" s="684"/>
      <c r="R91" s="1534"/>
      <c r="T91" s="1588"/>
      <c r="U91" s="1588"/>
      <c r="V91" s="1535"/>
      <c r="W91" s="1535"/>
      <c r="X91" s="1835"/>
      <c r="Y91" s="1835"/>
      <c r="Z91" s="1535"/>
      <c r="AA91" s="1535"/>
      <c r="AZ91" s="1893"/>
      <c r="BE91" s="1588"/>
      <c r="BF91" s="21"/>
      <c r="BG91" s="21"/>
      <c r="BH91" s="1536"/>
      <c r="BI91" s="1536"/>
      <c r="BJ91" s="436"/>
    </row>
    <row r="92" spans="14:62" s="20" customFormat="1" x14ac:dyDescent="0.2">
      <c r="N92" s="1607"/>
      <c r="Q92" s="684"/>
      <c r="R92" s="1534"/>
      <c r="T92" s="1588"/>
      <c r="U92" s="1588"/>
      <c r="V92" s="1535"/>
      <c r="W92" s="1535"/>
      <c r="X92" s="1835"/>
      <c r="Y92" s="1835"/>
      <c r="Z92" s="1535"/>
      <c r="AA92" s="1535"/>
      <c r="AZ92" s="1893"/>
      <c r="BE92" s="1588"/>
      <c r="BF92" s="21"/>
      <c r="BG92" s="21"/>
      <c r="BH92" s="1536"/>
      <c r="BI92" s="1536"/>
      <c r="BJ92" s="436"/>
    </row>
    <row r="93" spans="14:62" s="20" customFormat="1" x14ac:dyDescent="0.2">
      <c r="N93" s="1607"/>
      <c r="Q93" s="684"/>
      <c r="R93" s="1534"/>
      <c r="T93" s="1588"/>
      <c r="U93" s="1588"/>
      <c r="V93" s="1535"/>
      <c r="W93" s="1535"/>
      <c r="X93" s="1835"/>
      <c r="Y93" s="1835"/>
      <c r="Z93" s="1535"/>
      <c r="AA93" s="1535"/>
      <c r="AZ93" s="1893"/>
      <c r="BE93" s="1588"/>
      <c r="BF93" s="21"/>
      <c r="BG93" s="21"/>
      <c r="BH93" s="1536"/>
      <c r="BI93" s="1536"/>
      <c r="BJ93" s="436"/>
    </row>
    <row r="94" spans="14:62" s="20" customFormat="1" x14ac:dyDescent="0.2">
      <c r="N94" s="1607"/>
      <c r="Q94" s="684"/>
      <c r="R94" s="1534"/>
      <c r="T94" s="1588"/>
      <c r="U94" s="1588"/>
      <c r="V94" s="1535"/>
      <c r="W94" s="1535"/>
      <c r="X94" s="1835"/>
      <c r="Y94" s="1835"/>
      <c r="Z94" s="1535"/>
      <c r="AA94" s="1535"/>
      <c r="AZ94" s="1893"/>
      <c r="BE94" s="1588"/>
      <c r="BF94" s="21"/>
      <c r="BG94" s="21"/>
      <c r="BH94" s="1536"/>
      <c r="BI94" s="1536"/>
      <c r="BJ94" s="436"/>
    </row>
    <row r="95" spans="14:62" s="20" customFormat="1" x14ac:dyDescent="0.2">
      <c r="N95" s="1607"/>
      <c r="Q95" s="684"/>
      <c r="R95" s="1534"/>
      <c r="T95" s="1588"/>
      <c r="U95" s="1588"/>
      <c r="V95" s="1535"/>
      <c r="W95" s="1535"/>
      <c r="X95" s="1835"/>
      <c r="Y95" s="1835"/>
      <c r="Z95" s="1535"/>
      <c r="AA95" s="1535"/>
      <c r="AZ95" s="1893"/>
      <c r="BE95" s="1588"/>
      <c r="BF95" s="21"/>
      <c r="BG95" s="21"/>
      <c r="BH95" s="1536"/>
      <c r="BI95" s="1536"/>
      <c r="BJ95" s="436"/>
    </row>
    <row r="96" spans="14:62" s="20" customFormat="1" x14ac:dyDescent="0.2">
      <c r="N96" s="1607"/>
      <c r="Q96" s="684"/>
      <c r="R96" s="1534"/>
      <c r="T96" s="1588"/>
      <c r="U96" s="1588"/>
      <c r="V96" s="1535"/>
      <c r="W96" s="1535"/>
      <c r="X96" s="1535"/>
      <c r="Y96" s="1835"/>
      <c r="Z96" s="1535"/>
      <c r="AA96" s="1535"/>
      <c r="AZ96" s="1893"/>
      <c r="BE96" s="1588"/>
      <c r="BF96" s="21"/>
      <c r="BG96" s="21"/>
      <c r="BH96" s="1536"/>
      <c r="BI96" s="1536"/>
      <c r="BJ96" s="436"/>
    </row>
    <row r="97" spans="14:62" s="20" customFormat="1" x14ac:dyDescent="0.2">
      <c r="N97" s="1607"/>
      <c r="Q97" s="684"/>
      <c r="R97" s="1534"/>
      <c r="T97" s="1588"/>
      <c r="U97" s="1588"/>
      <c r="V97" s="1535"/>
      <c r="W97" s="1535"/>
      <c r="X97" s="1535"/>
      <c r="Y97" s="1835"/>
      <c r="Z97" s="1535"/>
      <c r="AA97" s="1535"/>
      <c r="AZ97" s="1893"/>
      <c r="BE97" s="1588"/>
      <c r="BF97" s="21"/>
      <c r="BG97" s="21"/>
      <c r="BH97" s="1536"/>
      <c r="BI97" s="1536"/>
      <c r="BJ97" s="436"/>
    </row>
    <row r="98" spans="14:62" s="20" customFormat="1" x14ac:dyDescent="0.2">
      <c r="N98" s="1607"/>
      <c r="Q98" s="684"/>
      <c r="R98" s="1534"/>
      <c r="T98" s="1588"/>
      <c r="U98" s="1588"/>
      <c r="V98" s="1535"/>
      <c r="W98" s="1535"/>
      <c r="X98" s="1535"/>
      <c r="Y98" s="1835"/>
      <c r="Z98" s="1535"/>
      <c r="AA98" s="1535"/>
      <c r="AZ98" s="1893"/>
      <c r="BE98" s="1588"/>
      <c r="BF98" s="21"/>
      <c r="BG98" s="21"/>
      <c r="BH98" s="1536"/>
      <c r="BI98" s="1536"/>
      <c r="BJ98" s="436"/>
    </row>
    <row r="99" spans="14:62" s="20" customFormat="1" x14ac:dyDescent="0.2">
      <c r="N99" s="1607"/>
      <c r="Q99" s="684"/>
      <c r="R99" s="1534"/>
      <c r="T99" s="1588"/>
      <c r="U99" s="1588"/>
      <c r="V99" s="1535"/>
      <c r="W99" s="1535"/>
      <c r="X99" s="1535"/>
      <c r="Y99" s="1835"/>
      <c r="Z99" s="1535"/>
      <c r="AA99" s="1535"/>
      <c r="AZ99" s="1893"/>
      <c r="BE99" s="1588"/>
      <c r="BF99" s="21"/>
      <c r="BG99" s="21"/>
      <c r="BH99" s="1536"/>
      <c r="BI99" s="1536"/>
      <c r="BJ99" s="436"/>
    </row>
    <row r="100" spans="14:62" s="20" customFormat="1" x14ac:dyDescent="0.2">
      <c r="N100" s="1607"/>
      <c r="Q100" s="684"/>
      <c r="R100" s="1534"/>
      <c r="T100" s="1588"/>
      <c r="U100" s="1588"/>
      <c r="V100" s="1535"/>
      <c r="W100" s="1535"/>
      <c r="X100" s="1535"/>
      <c r="Y100" s="1835"/>
      <c r="Z100" s="1535"/>
      <c r="AA100" s="1535"/>
      <c r="AZ100" s="1893"/>
      <c r="BE100" s="1588"/>
      <c r="BF100" s="21"/>
      <c r="BG100" s="21"/>
      <c r="BH100" s="1536"/>
      <c r="BI100" s="1536"/>
      <c r="BJ100" s="436"/>
    </row>
    <row r="101" spans="14:62" s="20" customFormat="1" x14ac:dyDescent="0.2">
      <c r="N101" s="1607"/>
      <c r="Q101" s="684"/>
      <c r="R101" s="1534"/>
      <c r="T101" s="1588"/>
      <c r="U101" s="1588"/>
      <c r="V101" s="1535"/>
      <c r="W101" s="1535"/>
      <c r="X101" s="1535"/>
      <c r="Y101" s="1835"/>
      <c r="Z101" s="1535"/>
      <c r="AA101" s="1535"/>
      <c r="AZ101" s="1893"/>
      <c r="BE101" s="1588"/>
      <c r="BF101" s="21"/>
      <c r="BG101" s="21"/>
      <c r="BH101" s="1536"/>
      <c r="BI101" s="1536"/>
      <c r="BJ101" s="436"/>
    </row>
    <row r="102" spans="14:62" s="20" customFormat="1" x14ac:dyDescent="0.2">
      <c r="N102" s="1607"/>
      <c r="Q102" s="684"/>
      <c r="R102" s="1534"/>
      <c r="T102" s="1588"/>
      <c r="U102" s="1588"/>
      <c r="V102" s="1535"/>
      <c r="W102" s="1535"/>
      <c r="X102" s="1535"/>
      <c r="Y102" s="1835"/>
      <c r="Z102" s="1535"/>
      <c r="AA102" s="1535"/>
      <c r="AZ102" s="1893"/>
      <c r="BE102" s="1588"/>
      <c r="BF102" s="21"/>
      <c r="BG102" s="21"/>
      <c r="BH102" s="1536"/>
      <c r="BI102" s="1536"/>
      <c r="BJ102" s="436"/>
    </row>
    <row r="103" spans="14:62" s="20" customFormat="1" x14ac:dyDescent="0.2">
      <c r="N103" s="1607"/>
      <c r="Q103" s="684"/>
      <c r="R103" s="1534"/>
      <c r="T103" s="1588"/>
      <c r="U103" s="1588"/>
      <c r="V103" s="1535"/>
      <c r="W103" s="1535"/>
      <c r="X103" s="1535"/>
      <c r="Y103" s="1835"/>
      <c r="Z103" s="1535"/>
      <c r="AA103" s="1535"/>
      <c r="AZ103" s="1893"/>
      <c r="BE103" s="1588"/>
      <c r="BF103" s="21"/>
      <c r="BG103" s="21"/>
      <c r="BH103" s="1536"/>
      <c r="BI103" s="1536"/>
      <c r="BJ103" s="436"/>
    </row>
    <row r="104" spans="14:62" s="20" customFormat="1" x14ac:dyDescent="0.2">
      <c r="N104" s="1607"/>
      <c r="Q104" s="684"/>
      <c r="R104" s="1534"/>
      <c r="T104" s="1588"/>
      <c r="U104" s="1588"/>
      <c r="V104" s="1535"/>
      <c r="W104" s="1535"/>
      <c r="X104" s="1535"/>
      <c r="Y104" s="1835"/>
      <c r="Z104" s="1535"/>
      <c r="AA104" s="1535"/>
      <c r="AZ104" s="1893"/>
      <c r="BE104" s="1588"/>
      <c r="BF104" s="21"/>
      <c r="BG104" s="21"/>
      <c r="BH104" s="1536"/>
      <c r="BI104" s="1536"/>
      <c r="BJ104" s="436"/>
    </row>
    <row r="105" spans="14:62" s="20" customFormat="1" x14ac:dyDescent="0.2">
      <c r="N105" s="1607"/>
      <c r="Q105" s="684"/>
      <c r="R105" s="1534"/>
      <c r="T105" s="1588"/>
      <c r="U105" s="1588"/>
      <c r="V105" s="1535"/>
      <c r="W105" s="1535"/>
      <c r="X105" s="1535"/>
      <c r="Y105" s="1835"/>
      <c r="Z105" s="1535"/>
      <c r="AA105" s="1535"/>
      <c r="AZ105" s="1893"/>
      <c r="BE105" s="1588"/>
      <c r="BF105" s="21"/>
      <c r="BG105" s="21"/>
      <c r="BH105" s="1536"/>
      <c r="BI105" s="1536"/>
      <c r="BJ105" s="436"/>
    </row>
    <row r="106" spans="14:62" s="20" customFormat="1" x14ac:dyDescent="0.2">
      <c r="N106" s="1607"/>
      <c r="Q106" s="684"/>
      <c r="R106" s="1534"/>
      <c r="T106" s="1588"/>
      <c r="U106" s="1588"/>
      <c r="V106" s="1535"/>
      <c r="W106" s="1535"/>
      <c r="X106" s="1535"/>
      <c r="Y106" s="1835"/>
      <c r="Z106" s="1535"/>
      <c r="AA106" s="1535"/>
      <c r="AZ106" s="1893"/>
      <c r="BE106" s="1588"/>
      <c r="BF106" s="21"/>
      <c r="BG106" s="21"/>
      <c r="BH106" s="1536"/>
      <c r="BI106" s="1536"/>
      <c r="BJ106" s="436"/>
    </row>
    <row r="107" spans="14:62" s="20" customFormat="1" x14ac:dyDescent="0.2">
      <c r="N107" s="1607"/>
      <c r="Q107" s="684"/>
      <c r="R107" s="1534"/>
      <c r="T107" s="1588"/>
      <c r="U107" s="1588"/>
      <c r="V107" s="1535"/>
      <c r="W107" s="1535"/>
      <c r="X107" s="1535"/>
      <c r="Y107" s="1835"/>
      <c r="Z107" s="1535"/>
      <c r="AA107" s="1535"/>
      <c r="AZ107" s="1893"/>
      <c r="BE107" s="1588"/>
      <c r="BF107" s="21"/>
      <c r="BG107" s="21"/>
      <c r="BH107" s="1536"/>
      <c r="BI107" s="1536"/>
      <c r="BJ107" s="436"/>
    </row>
    <row r="108" spans="14:62" s="20" customFormat="1" x14ac:dyDescent="0.2">
      <c r="N108" s="1607"/>
      <c r="Q108" s="684"/>
      <c r="R108" s="1534"/>
      <c r="T108" s="1588"/>
      <c r="U108" s="1588"/>
      <c r="V108" s="1535"/>
      <c r="W108" s="1535"/>
      <c r="X108" s="1535"/>
      <c r="Y108" s="1835"/>
      <c r="Z108" s="1535"/>
      <c r="AA108" s="1535"/>
      <c r="AZ108" s="1893"/>
      <c r="BE108" s="1588"/>
      <c r="BF108" s="21"/>
      <c r="BG108" s="21"/>
      <c r="BH108" s="1536"/>
      <c r="BI108" s="1536"/>
      <c r="BJ108" s="436"/>
    </row>
    <row r="109" spans="14:62" s="20" customFormat="1" x14ac:dyDescent="0.2">
      <c r="N109" s="1607"/>
      <c r="Q109" s="684"/>
      <c r="R109" s="1534"/>
      <c r="T109" s="1588"/>
      <c r="U109" s="1588"/>
      <c r="V109" s="1535"/>
      <c r="W109" s="1535"/>
      <c r="X109" s="1535"/>
      <c r="Y109" s="1835"/>
      <c r="Z109" s="1535"/>
      <c r="AA109" s="1535"/>
      <c r="AZ109" s="1893"/>
      <c r="BE109" s="1588"/>
      <c r="BF109" s="21"/>
      <c r="BG109" s="21"/>
      <c r="BH109" s="1536"/>
      <c r="BI109" s="1536"/>
      <c r="BJ109" s="436"/>
    </row>
    <row r="110" spans="14:62" s="20" customFormat="1" x14ac:dyDescent="0.2">
      <c r="N110" s="1607"/>
      <c r="Q110" s="684"/>
      <c r="R110" s="1534"/>
      <c r="T110" s="1588"/>
      <c r="U110" s="1588"/>
      <c r="V110" s="1535"/>
      <c r="W110" s="1535"/>
      <c r="X110" s="1535"/>
      <c r="Y110" s="1835"/>
      <c r="Z110" s="1535"/>
      <c r="AA110" s="1535"/>
      <c r="AZ110" s="1893"/>
      <c r="BE110" s="1588"/>
      <c r="BF110" s="21"/>
      <c r="BG110" s="21"/>
      <c r="BH110" s="1536"/>
      <c r="BI110" s="1536"/>
      <c r="BJ110" s="436"/>
    </row>
    <row r="111" spans="14:62" s="20" customFormat="1" x14ac:dyDescent="0.2">
      <c r="N111" s="1607"/>
      <c r="Q111" s="684"/>
      <c r="R111" s="1534"/>
      <c r="T111" s="1588"/>
      <c r="U111" s="1588"/>
      <c r="V111" s="1535"/>
      <c r="W111" s="1535"/>
      <c r="X111" s="1535"/>
      <c r="Y111" s="1835"/>
      <c r="Z111" s="1535"/>
      <c r="AA111" s="1535"/>
      <c r="AZ111" s="1893"/>
      <c r="BE111" s="1588"/>
      <c r="BF111" s="21"/>
      <c r="BG111" s="21"/>
      <c r="BH111" s="1536"/>
      <c r="BI111" s="1536"/>
      <c r="BJ111" s="436"/>
    </row>
    <row r="112" spans="14:62" s="20" customFormat="1" x14ac:dyDescent="0.2">
      <c r="N112" s="1607"/>
      <c r="Q112" s="684"/>
      <c r="R112" s="1534"/>
      <c r="T112" s="1588"/>
      <c r="U112" s="1588"/>
      <c r="V112" s="1535"/>
      <c r="W112" s="1535"/>
      <c r="X112" s="1535"/>
      <c r="Y112" s="1835"/>
      <c r="Z112" s="1535"/>
      <c r="AA112" s="1535"/>
      <c r="AZ112" s="1893"/>
      <c r="BE112" s="1588"/>
      <c r="BF112" s="21"/>
      <c r="BG112" s="21"/>
      <c r="BH112" s="1536"/>
      <c r="BI112" s="1536"/>
      <c r="BJ112" s="436"/>
    </row>
    <row r="113" spans="14:62" s="20" customFormat="1" x14ac:dyDescent="0.2">
      <c r="N113" s="1607"/>
      <c r="Q113" s="684"/>
      <c r="R113" s="1534"/>
      <c r="T113" s="1588"/>
      <c r="U113" s="1588"/>
      <c r="V113" s="1535"/>
      <c r="W113" s="1535"/>
      <c r="X113" s="1535"/>
      <c r="Y113" s="1835"/>
      <c r="Z113" s="1535"/>
      <c r="AA113" s="1535"/>
      <c r="AZ113" s="1893"/>
      <c r="BE113" s="1588"/>
      <c r="BF113" s="21"/>
      <c r="BG113" s="21"/>
      <c r="BH113" s="1536"/>
      <c r="BI113" s="1536"/>
      <c r="BJ113" s="436"/>
    </row>
    <row r="114" spans="14:62" s="20" customFormat="1" x14ac:dyDescent="0.2">
      <c r="N114" s="1607"/>
      <c r="Q114" s="684"/>
      <c r="R114" s="1534"/>
      <c r="T114" s="1588"/>
      <c r="U114" s="1588"/>
      <c r="V114" s="1535"/>
      <c r="W114" s="1535"/>
      <c r="X114" s="1535"/>
      <c r="Y114" s="1835"/>
      <c r="Z114" s="1535"/>
      <c r="AA114" s="1535"/>
      <c r="AZ114" s="1893"/>
      <c r="BE114" s="1588"/>
      <c r="BF114" s="21"/>
      <c r="BG114" s="21"/>
      <c r="BH114" s="1536"/>
      <c r="BI114" s="1536"/>
      <c r="BJ114" s="436"/>
    </row>
    <row r="115" spans="14:62" s="20" customFormat="1" x14ac:dyDescent="0.2">
      <c r="N115" s="1607"/>
      <c r="Q115" s="684"/>
      <c r="R115" s="1534"/>
      <c r="T115" s="1588"/>
      <c r="U115" s="1588"/>
      <c r="V115" s="1535"/>
      <c r="W115" s="1535"/>
      <c r="X115" s="1535"/>
      <c r="Y115" s="1835"/>
      <c r="Z115" s="1535"/>
      <c r="AA115" s="1535"/>
      <c r="AZ115" s="1893"/>
      <c r="BE115" s="1588"/>
      <c r="BF115" s="21"/>
      <c r="BG115" s="21"/>
      <c r="BH115" s="1536"/>
      <c r="BI115" s="1536"/>
      <c r="BJ115" s="436"/>
    </row>
    <row r="116" spans="14:62" s="20" customFormat="1" x14ac:dyDescent="0.2">
      <c r="N116" s="1607"/>
      <c r="Q116" s="684"/>
      <c r="R116" s="1534"/>
      <c r="T116" s="1588"/>
      <c r="U116" s="1588"/>
      <c r="V116" s="1535"/>
      <c r="W116" s="1535"/>
      <c r="X116" s="1535"/>
      <c r="Y116" s="1835"/>
      <c r="Z116" s="1535"/>
      <c r="AA116" s="1535"/>
      <c r="AZ116" s="1893"/>
      <c r="BE116" s="1588"/>
      <c r="BF116" s="21"/>
      <c r="BG116" s="21"/>
      <c r="BH116" s="1536"/>
      <c r="BI116" s="1536"/>
      <c r="BJ116" s="436"/>
    </row>
    <row r="117" spans="14:62" s="20" customFormat="1" x14ac:dyDescent="0.2">
      <c r="N117" s="1607"/>
      <c r="Q117" s="684"/>
      <c r="R117" s="1534"/>
      <c r="T117" s="1588"/>
      <c r="U117" s="1588"/>
      <c r="V117" s="1535"/>
      <c r="W117" s="1535"/>
      <c r="X117" s="1535"/>
      <c r="Y117" s="1835"/>
      <c r="Z117" s="1535"/>
      <c r="AA117" s="1535"/>
      <c r="AZ117" s="1893"/>
      <c r="BE117" s="1588"/>
      <c r="BF117" s="21"/>
      <c r="BG117" s="21"/>
      <c r="BH117" s="1536"/>
      <c r="BI117" s="1536"/>
      <c r="BJ117" s="436"/>
    </row>
    <row r="118" spans="14:62" s="20" customFormat="1" x14ac:dyDescent="0.2">
      <c r="N118" s="1607"/>
      <c r="Q118" s="684"/>
      <c r="R118" s="1534"/>
      <c r="T118" s="1588"/>
      <c r="U118" s="1588"/>
      <c r="V118" s="1535"/>
      <c r="W118" s="1535"/>
      <c r="X118" s="1535"/>
      <c r="Y118" s="1835"/>
      <c r="Z118" s="1535"/>
      <c r="AA118" s="1535"/>
      <c r="AZ118" s="1893"/>
      <c r="BE118" s="1588"/>
      <c r="BF118" s="21"/>
      <c r="BG118" s="21"/>
      <c r="BH118" s="1536"/>
      <c r="BI118" s="1536"/>
      <c r="BJ118" s="436"/>
    </row>
    <row r="119" spans="14:62" s="20" customFormat="1" x14ac:dyDescent="0.2">
      <c r="N119" s="1607"/>
      <c r="Q119" s="684"/>
      <c r="R119" s="1534"/>
      <c r="T119" s="1588"/>
      <c r="U119" s="1588"/>
      <c r="V119" s="1535"/>
      <c r="W119" s="1535"/>
      <c r="X119" s="1535"/>
      <c r="Y119" s="1835"/>
      <c r="Z119" s="1535"/>
      <c r="AA119" s="1535"/>
      <c r="AZ119" s="1893"/>
      <c r="BE119" s="1588"/>
      <c r="BF119" s="21"/>
      <c r="BG119" s="21"/>
      <c r="BH119" s="1536"/>
      <c r="BI119" s="1536"/>
      <c r="BJ119" s="436"/>
    </row>
    <row r="120" spans="14:62" s="20" customFormat="1" x14ac:dyDescent="0.2">
      <c r="N120" s="1607"/>
      <c r="Q120" s="684"/>
      <c r="R120" s="1534"/>
      <c r="T120" s="1588"/>
      <c r="U120" s="1588"/>
      <c r="V120" s="1535"/>
      <c r="W120" s="1535"/>
      <c r="X120" s="1535"/>
      <c r="Y120" s="1835"/>
      <c r="Z120" s="1535"/>
      <c r="AA120" s="1535"/>
      <c r="AZ120" s="1893"/>
      <c r="BE120" s="1588"/>
      <c r="BF120" s="21"/>
      <c r="BG120" s="21"/>
      <c r="BH120" s="1536"/>
      <c r="BI120" s="1536"/>
      <c r="BJ120" s="436"/>
    </row>
    <row r="121" spans="14:62" s="20" customFormat="1" x14ac:dyDescent="0.2">
      <c r="N121" s="1607"/>
      <c r="Q121" s="684"/>
      <c r="R121" s="1534"/>
      <c r="T121" s="1588"/>
      <c r="U121" s="1588"/>
      <c r="V121" s="1535"/>
      <c r="W121" s="1535"/>
      <c r="X121" s="1535"/>
      <c r="Y121" s="1835"/>
      <c r="Z121" s="1535"/>
      <c r="AA121" s="1535"/>
      <c r="AZ121" s="1893"/>
      <c r="BE121" s="1588"/>
      <c r="BF121" s="21"/>
      <c r="BG121" s="21"/>
      <c r="BH121" s="1536"/>
      <c r="BI121" s="1536"/>
      <c r="BJ121" s="436"/>
    </row>
    <row r="122" spans="14:62" s="20" customFormat="1" x14ac:dyDescent="0.2">
      <c r="N122" s="1607"/>
      <c r="Q122" s="684"/>
      <c r="R122" s="1534"/>
      <c r="T122" s="1588"/>
      <c r="U122" s="1588"/>
      <c r="V122" s="1535"/>
      <c r="W122" s="1535"/>
      <c r="X122" s="1535"/>
      <c r="Y122" s="1835"/>
      <c r="Z122" s="1535"/>
      <c r="AA122" s="1535"/>
      <c r="AZ122" s="1893"/>
      <c r="BE122" s="1588"/>
      <c r="BF122" s="21"/>
      <c r="BG122" s="21"/>
      <c r="BH122" s="1536"/>
      <c r="BI122" s="1536"/>
      <c r="BJ122" s="436"/>
    </row>
    <row r="123" spans="14:62" s="20" customFormat="1" x14ac:dyDescent="0.2">
      <c r="N123" s="1607"/>
      <c r="Q123" s="684"/>
      <c r="R123" s="1534"/>
      <c r="T123" s="1588"/>
      <c r="U123" s="1588"/>
      <c r="V123" s="1535"/>
      <c r="W123" s="1535"/>
      <c r="X123" s="1535"/>
      <c r="Y123" s="1835"/>
      <c r="Z123" s="1535"/>
      <c r="AA123" s="1535"/>
      <c r="AZ123" s="1893"/>
      <c r="BE123" s="1588"/>
      <c r="BF123" s="21"/>
      <c r="BG123" s="21"/>
      <c r="BH123" s="1536"/>
      <c r="BI123" s="1536"/>
      <c r="BJ123" s="436"/>
    </row>
    <row r="124" spans="14:62" s="20" customFormat="1" x14ac:dyDescent="0.2">
      <c r="N124" s="1607"/>
      <c r="Q124" s="684"/>
      <c r="R124" s="1534"/>
      <c r="T124" s="1588"/>
      <c r="U124" s="1588"/>
      <c r="V124" s="1535"/>
      <c r="W124" s="1535"/>
      <c r="X124" s="1535"/>
      <c r="Y124" s="1835"/>
      <c r="Z124" s="1535"/>
      <c r="AA124" s="1535"/>
      <c r="AZ124" s="1893"/>
      <c r="BE124" s="1588"/>
      <c r="BF124" s="21"/>
      <c r="BG124" s="21"/>
      <c r="BH124" s="1536"/>
      <c r="BI124" s="1536"/>
      <c r="BJ124" s="436"/>
    </row>
    <row r="125" spans="14:62" s="20" customFormat="1" x14ac:dyDescent="0.2">
      <c r="N125" s="1607"/>
      <c r="Q125" s="684"/>
      <c r="R125" s="1534"/>
      <c r="T125" s="1588"/>
      <c r="U125" s="1588"/>
      <c r="V125" s="1535"/>
      <c r="W125" s="1535"/>
      <c r="X125" s="1535"/>
      <c r="Y125" s="1835"/>
      <c r="Z125" s="1535"/>
      <c r="AA125" s="1535"/>
      <c r="AZ125" s="1893"/>
      <c r="BE125" s="1588"/>
      <c r="BF125" s="21"/>
      <c r="BG125" s="21"/>
      <c r="BH125" s="1536"/>
      <c r="BI125" s="1536"/>
      <c r="BJ125" s="436"/>
    </row>
    <row r="126" spans="14:62" s="20" customFormat="1" x14ac:dyDescent="0.2">
      <c r="N126" s="1607"/>
      <c r="Q126" s="684"/>
      <c r="R126" s="1534"/>
      <c r="T126" s="1588"/>
      <c r="U126" s="1588"/>
      <c r="V126" s="1535"/>
      <c r="W126" s="1535"/>
      <c r="X126" s="1535"/>
      <c r="Y126" s="1835"/>
      <c r="Z126" s="1535"/>
      <c r="AA126" s="1535"/>
      <c r="AZ126" s="1893"/>
      <c r="BE126" s="1588"/>
      <c r="BF126" s="21"/>
      <c r="BG126" s="21"/>
      <c r="BH126" s="1536"/>
      <c r="BI126" s="1536"/>
      <c r="BJ126" s="436"/>
    </row>
    <row r="127" spans="14:62" s="20" customFormat="1" x14ac:dyDescent="0.2">
      <c r="N127" s="1607"/>
      <c r="Q127" s="684"/>
      <c r="R127" s="1534"/>
      <c r="T127" s="1588"/>
      <c r="U127" s="1588"/>
      <c r="V127" s="1535"/>
      <c r="W127" s="1535"/>
      <c r="X127" s="1535"/>
      <c r="Y127" s="1835"/>
      <c r="Z127" s="1535"/>
      <c r="AA127" s="1535"/>
      <c r="AZ127" s="1893"/>
      <c r="BE127" s="1588"/>
      <c r="BF127" s="21"/>
      <c r="BG127" s="21"/>
      <c r="BH127" s="1536"/>
      <c r="BI127" s="1536"/>
      <c r="BJ127" s="436"/>
    </row>
    <row r="128" spans="14:62" s="20" customFormat="1" x14ac:dyDescent="0.2">
      <c r="N128" s="1607"/>
      <c r="Q128" s="684"/>
      <c r="R128" s="1534"/>
      <c r="T128" s="1588"/>
      <c r="U128" s="1588"/>
      <c r="V128" s="1535"/>
      <c r="W128" s="1535"/>
      <c r="X128" s="1535"/>
      <c r="Y128" s="1835"/>
      <c r="Z128" s="1535"/>
      <c r="AA128" s="1535"/>
      <c r="AZ128" s="1893"/>
      <c r="BE128" s="1588"/>
      <c r="BF128" s="21"/>
      <c r="BG128" s="21"/>
      <c r="BH128" s="1536"/>
      <c r="BI128" s="1536"/>
      <c r="BJ128" s="436"/>
    </row>
    <row r="129" spans="14:62" s="20" customFormat="1" x14ac:dyDescent="0.2">
      <c r="N129" s="1607"/>
      <c r="Q129" s="684"/>
      <c r="R129" s="1534"/>
      <c r="T129" s="1588"/>
      <c r="U129" s="1588"/>
      <c r="V129" s="1535"/>
      <c r="W129" s="1535"/>
      <c r="X129" s="1535"/>
      <c r="Y129" s="1835"/>
      <c r="Z129" s="1535"/>
      <c r="AA129" s="1535"/>
      <c r="AZ129" s="1893"/>
      <c r="BE129" s="1588"/>
      <c r="BF129" s="21"/>
      <c r="BG129" s="21"/>
      <c r="BH129" s="1536"/>
      <c r="BI129" s="1536"/>
      <c r="BJ129" s="436"/>
    </row>
    <row r="130" spans="14:62" s="20" customFormat="1" x14ac:dyDescent="0.2">
      <c r="N130" s="1607"/>
      <c r="Q130" s="684"/>
      <c r="R130" s="1534"/>
      <c r="T130" s="1588"/>
      <c r="U130" s="1588"/>
      <c r="V130" s="1535"/>
      <c r="W130" s="1535"/>
      <c r="X130" s="1535"/>
      <c r="Y130" s="1835"/>
      <c r="Z130" s="1535"/>
      <c r="AA130" s="1535"/>
      <c r="AZ130" s="1893"/>
      <c r="BE130" s="1588"/>
      <c r="BF130" s="21"/>
      <c r="BG130" s="21"/>
      <c r="BH130" s="1536"/>
      <c r="BI130" s="1536"/>
      <c r="BJ130" s="436"/>
    </row>
    <row r="131" spans="14:62" s="20" customFormat="1" x14ac:dyDescent="0.2">
      <c r="N131" s="1607"/>
      <c r="Q131" s="684"/>
      <c r="R131" s="1534"/>
      <c r="T131" s="1588"/>
      <c r="U131" s="1588"/>
      <c r="V131" s="1535"/>
      <c r="W131" s="1535"/>
      <c r="X131" s="1535"/>
      <c r="Y131" s="1835"/>
      <c r="Z131" s="1535"/>
      <c r="AA131" s="1535"/>
      <c r="AZ131" s="1893"/>
      <c r="BE131" s="1588"/>
      <c r="BF131" s="21"/>
      <c r="BG131" s="21"/>
      <c r="BH131" s="1536"/>
      <c r="BI131" s="1536"/>
      <c r="BJ131" s="436"/>
    </row>
    <row r="132" spans="14:62" s="20" customFormat="1" x14ac:dyDescent="0.2">
      <c r="N132" s="1607"/>
      <c r="Q132" s="684"/>
      <c r="R132" s="1534"/>
      <c r="T132" s="1588"/>
      <c r="U132" s="1588"/>
      <c r="V132" s="1535"/>
      <c r="W132" s="1535"/>
      <c r="X132" s="1535"/>
      <c r="Y132" s="1835"/>
      <c r="Z132" s="1535"/>
      <c r="AA132" s="1535"/>
      <c r="AZ132" s="1893"/>
      <c r="BE132" s="1588"/>
      <c r="BF132" s="21"/>
      <c r="BG132" s="21"/>
      <c r="BH132" s="1536"/>
      <c r="BI132" s="1536"/>
      <c r="BJ132" s="436"/>
    </row>
    <row r="133" spans="14:62" s="20" customFormat="1" x14ac:dyDescent="0.2">
      <c r="N133" s="1607"/>
      <c r="Q133" s="684"/>
      <c r="R133" s="1534"/>
      <c r="T133" s="1588"/>
      <c r="U133" s="1588"/>
      <c r="V133" s="1535"/>
      <c r="W133" s="1535"/>
      <c r="X133" s="1535"/>
      <c r="Y133" s="1835"/>
      <c r="Z133" s="1535"/>
      <c r="AA133" s="1535"/>
      <c r="AZ133" s="1893"/>
      <c r="BE133" s="1588"/>
      <c r="BF133" s="21"/>
      <c r="BG133" s="21"/>
      <c r="BH133" s="1536"/>
      <c r="BI133" s="1536"/>
      <c r="BJ133" s="436"/>
    </row>
    <row r="134" spans="14:62" s="20" customFormat="1" x14ac:dyDescent="0.2">
      <c r="N134" s="1607"/>
      <c r="Q134" s="684"/>
      <c r="R134" s="1534"/>
      <c r="T134" s="1588"/>
      <c r="U134" s="1588"/>
      <c r="V134" s="1535"/>
      <c r="W134" s="1535"/>
      <c r="X134" s="1535"/>
      <c r="Y134" s="1835"/>
      <c r="Z134" s="1535"/>
      <c r="AA134" s="1535"/>
      <c r="AZ134" s="1893"/>
      <c r="BE134" s="1588"/>
      <c r="BF134" s="21"/>
      <c r="BG134" s="21"/>
      <c r="BH134" s="1536"/>
      <c r="BI134" s="1536"/>
      <c r="BJ134" s="436"/>
    </row>
    <row r="135" spans="14:62" s="20" customFormat="1" x14ac:dyDescent="0.2">
      <c r="N135" s="1607"/>
      <c r="Q135" s="684"/>
      <c r="R135" s="1534"/>
      <c r="T135" s="1588"/>
      <c r="U135" s="1588"/>
      <c r="V135" s="1535"/>
      <c r="W135" s="1535"/>
      <c r="X135" s="1535"/>
      <c r="Y135" s="1835"/>
      <c r="Z135" s="1535"/>
      <c r="AA135" s="1535"/>
      <c r="AZ135" s="1893"/>
      <c r="BE135" s="1588"/>
      <c r="BF135" s="21"/>
      <c r="BG135" s="21"/>
      <c r="BH135" s="1536"/>
      <c r="BI135" s="1536"/>
      <c r="BJ135" s="436"/>
    </row>
    <row r="136" spans="14:62" s="20" customFormat="1" x14ac:dyDescent="0.2">
      <c r="N136" s="1607"/>
      <c r="Q136" s="684"/>
      <c r="R136" s="1534"/>
      <c r="T136" s="1588"/>
      <c r="U136" s="1588"/>
      <c r="V136" s="1535"/>
      <c r="W136" s="1535"/>
      <c r="X136" s="1535"/>
      <c r="Y136" s="1835"/>
      <c r="Z136" s="1535"/>
      <c r="AA136" s="1535"/>
      <c r="AZ136" s="1893"/>
      <c r="BE136" s="1588"/>
      <c r="BF136" s="21"/>
      <c r="BG136" s="21"/>
      <c r="BH136" s="1536"/>
      <c r="BI136" s="1536"/>
      <c r="BJ136" s="436"/>
    </row>
    <row r="137" spans="14:62" s="20" customFormat="1" x14ac:dyDescent="0.2">
      <c r="N137" s="1607"/>
      <c r="Q137" s="684"/>
      <c r="R137" s="1534"/>
      <c r="T137" s="1588"/>
      <c r="U137" s="1588"/>
      <c r="V137" s="1535"/>
      <c r="W137" s="1535"/>
      <c r="X137" s="1535"/>
      <c r="Y137" s="1835"/>
      <c r="Z137" s="1535"/>
      <c r="AA137" s="1535"/>
      <c r="AZ137" s="1893"/>
      <c r="BE137" s="1588"/>
      <c r="BF137" s="21"/>
      <c r="BG137" s="21"/>
      <c r="BH137" s="1536"/>
      <c r="BI137" s="1536"/>
      <c r="BJ137" s="436"/>
    </row>
    <row r="138" spans="14:62" s="20" customFormat="1" x14ac:dyDescent="0.2">
      <c r="N138" s="1607"/>
      <c r="Q138" s="684"/>
      <c r="R138" s="1534"/>
      <c r="T138" s="1588"/>
      <c r="U138" s="1588"/>
      <c r="V138" s="1535"/>
      <c r="W138" s="1535"/>
      <c r="X138" s="1535"/>
      <c r="Y138" s="1835"/>
      <c r="Z138" s="1535"/>
      <c r="AA138" s="1535"/>
      <c r="AZ138" s="1893"/>
      <c r="BE138" s="1588"/>
      <c r="BF138" s="21"/>
      <c r="BG138" s="21"/>
      <c r="BH138" s="1536"/>
      <c r="BI138" s="1536"/>
      <c r="BJ138" s="436"/>
    </row>
    <row r="139" spans="14:62" s="20" customFormat="1" x14ac:dyDescent="0.2">
      <c r="N139" s="1607"/>
      <c r="Q139" s="684"/>
      <c r="R139" s="1534"/>
      <c r="T139" s="1588"/>
      <c r="U139" s="1588"/>
      <c r="V139" s="1535"/>
      <c r="W139" s="1535"/>
      <c r="X139" s="1535"/>
      <c r="Y139" s="1835"/>
      <c r="Z139" s="1535"/>
      <c r="AA139" s="1535"/>
      <c r="AZ139" s="1893"/>
      <c r="BE139" s="1588"/>
      <c r="BF139" s="21"/>
      <c r="BG139" s="21"/>
      <c r="BH139" s="1536"/>
      <c r="BI139" s="1536"/>
      <c r="BJ139" s="436"/>
    </row>
    <row r="140" spans="14:62" s="20" customFormat="1" x14ac:dyDescent="0.2">
      <c r="N140" s="1607"/>
      <c r="Q140" s="684"/>
      <c r="R140" s="1534"/>
      <c r="T140" s="1588"/>
      <c r="U140" s="1588"/>
      <c r="V140" s="1535"/>
      <c r="W140" s="1535"/>
      <c r="X140" s="1535"/>
      <c r="Y140" s="1835"/>
      <c r="Z140" s="1535"/>
      <c r="AA140" s="1535"/>
      <c r="AZ140" s="1893"/>
      <c r="BE140" s="1588"/>
      <c r="BF140" s="21"/>
      <c r="BG140" s="21"/>
      <c r="BH140" s="1536"/>
      <c r="BI140" s="1536"/>
      <c r="BJ140" s="436"/>
    </row>
    <row r="141" spans="14:62" s="20" customFormat="1" x14ac:dyDescent="0.2">
      <c r="N141" s="1607"/>
      <c r="Q141" s="684"/>
      <c r="R141" s="1534"/>
      <c r="T141" s="1588"/>
      <c r="U141" s="1588"/>
      <c r="V141" s="1535"/>
      <c r="W141" s="1535"/>
      <c r="X141" s="1535"/>
      <c r="Y141" s="1835"/>
      <c r="Z141" s="1535"/>
      <c r="AA141" s="1535"/>
      <c r="AZ141" s="1893"/>
      <c r="BE141" s="1588"/>
      <c r="BF141" s="21"/>
      <c r="BG141" s="21"/>
      <c r="BH141" s="1536"/>
      <c r="BI141" s="1536"/>
      <c r="BJ141" s="436"/>
    </row>
    <row r="142" spans="14:62" s="20" customFormat="1" x14ac:dyDescent="0.2">
      <c r="N142" s="1607"/>
      <c r="Q142" s="684"/>
      <c r="R142" s="1534"/>
      <c r="T142" s="1588"/>
      <c r="U142" s="1588"/>
      <c r="V142" s="1535"/>
      <c r="W142" s="1535"/>
      <c r="X142" s="1535"/>
      <c r="Y142" s="1835"/>
      <c r="Z142" s="1535"/>
      <c r="AA142" s="1535"/>
      <c r="AZ142" s="1893"/>
      <c r="BE142" s="1588"/>
      <c r="BF142" s="21"/>
      <c r="BG142" s="21"/>
      <c r="BH142" s="1536"/>
      <c r="BI142" s="1536"/>
      <c r="BJ142" s="436"/>
    </row>
    <row r="143" spans="14:62" s="20" customFormat="1" x14ac:dyDescent="0.2">
      <c r="N143" s="1607"/>
      <c r="Q143" s="684"/>
      <c r="R143" s="1534"/>
      <c r="T143" s="1588"/>
      <c r="U143" s="1588"/>
      <c r="V143" s="1535"/>
      <c r="W143" s="1535"/>
      <c r="X143" s="1535"/>
      <c r="Y143" s="1835"/>
      <c r="Z143" s="1535"/>
      <c r="AA143" s="1535"/>
      <c r="AZ143" s="1893"/>
      <c r="BE143" s="1588"/>
      <c r="BF143" s="21"/>
      <c r="BG143" s="21"/>
      <c r="BH143" s="1536"/>
      <c r="BI143" s="1536"/>
      <c r="BJ143" s="436"/>
    </row>
    <row r="144" spans="14:62" s="20" customFormat="1" x14ac:dyDescent="0.2">
      <c r="N144" s="1607"/>
      <c r="Q144" s="684"/>
      <c r="R144" s="1534"/>
      <c r="T144" s="1588"/>
      <c r="U144" s="1588"/>
      <c r="V144" s="1535"/>
      <c r="W144" s="1535"/>
      <c r="X144" s="1535"/>
      <c r="Y144" s="1835"/>
      <c r="Z144" s="1535"/>
      <c r="AA144" s="1535"/>
      <c r="AZ144" s="1893"/>
      <c r="BE144" s="1588"/>
      <c r="BF144" s="21"/>
      <c r="BG144" s="21"/>
      <c r="BH144" s="1536"/>
      <c r="BI144" s="1536"/>
      <c r="BJ144" s="436"/>
    </row>
    <row r="145" spans="14:62" s="20" customFormat="1" x14ac:dyDescent="0.2">
      <c r="N145" s="1607"/>
      <c r="Q145" s="684"/>
      <c r="R145" s="1534"/>
      <c r="T145" s="1588"/>
      <c r="U145" s="1588"/>
      <c r="V145" s="1535"/>
      <c r="W145" s="1535"/>
      <c r="X145" s="1535"/>
      <c r="Y145" s="1835"/>
      <c r="Z145" s="1535"/>
      <c r="AA145" s="1535"/>
      <c r="AZ145" s="1893"/>
      <c r="BE145" s="1588"/>
      <c r="BF145" s="21"/>
      <c r="BG145" s="21"/>
      <c r="BH145" s="1536"/>
      <c r="BI145" s="1536"/>
      <c r="BJ145" s="436"/>
    </row>
    <row r="146" spans="14:62" s="20" customFormat="1" x14ac:dyDescent="0.2">
      <c r="N146" s="1607"/>
      <c r="Q146" s="684"/>
      <c r="R146" s="1534"/>
      <c r="T146" s="1588"/>
      <c r="U146" s="1588"/>
      <c r="V146" s="1535"/>
      <c r="W146" s="1535"/>
      <c r="X146" s="1535"/>
      <c r="Y146" s="1835"/>
      <c r="Z146" s="1535"/>
      <c r="AA146" s="1535"/>
      <c r="AZ146" s="1893"/>
      <c r="BE146" s="1588"/>
      <c r="BF146" s="21"/>
      <c r="BG146" s="21"/>
      <c r="BH146" s="1536"/>
      <c r="BI146" s="1536"/>
      <c r="BJ146" s="436"/>
    </row>
    <row r="147" spans="14:62" s="20" customFormat="1" x14ac:dyDescent="0.2">
      <c r="N147" s="1607"/>
      <c r="Q147" s="684"/>
      <c r="R147" s="1534"/>
      <c r="T147" s="1588"/>
      <c r="U147" s="1588"/>
      <c r="V147" s="1535"/>
      <c r="W147" s="1535"/>
      <c r="X147" s="1535"/>
      <c r="Y147" s="1835"/>
      <c r="Z147" s="1535"/>
      <c r="AA147" s="1535"/>
      <c r="AZ147" s="1893"/>
      <c r="BE147" s="1588"/>
      <c r="BF147" s="21"/>
      <c r="BG147" s="21"/>
      <c r="BH147" s="1536"/>
      <c r="BI147" s="1536"/>
      <c r="BJ147" s="436"/>
    </row>
    <row r="148" spans="14:62" s="20" customFormat="1" x14ac:dyDescent="0.2">
      <c r="N148" s="1607"/>
      <c r="Q148" s="684"/>
      <c r="R148" s="1534"/>
      <c r="T148" s="1588"/>
      <c r="U148" s="1588"/>
      <c r="V148" s="1535"/>
      <c r="W148" s="1535"/>
      <c r="X148" s="1535"/>
      <c r="Y148" s="1835"/>
      <c r="Z148" s="1535"/>
      <c r="AA148" s="1535"/>
      <c r="AZ148" s="1893"/>
      <c r="BE148" s="1588"/>
      <c r="BF148" s="21"/>
      <c r="BG148" s="21"/>
      <c r="BH148" s="1536"/>
      <c r="BI148" s="1536"/>
      <c r="BJ148" s="436"/>
    </row>
    <row r="149" spans="14:62" s="20" customFormat="1" x14ac:dyDescent="0.2">
      <c r="N149" s="1607"/>
      <c r="Q149" s="684"/>
      <c r="R149" s="1534"/>
      <c r="T149" s="1588"/>
      <c r="U149" s="1588"/>
      <c r="V149" s="1535"/>
      <c r="W149" s="1535"/>
      <c r="X149" s="1535"/>
      <c r="Y149" s="1835"/>
      <c r="Z149" s="1535"/>
      <c r="AA149" s="1535"/>
      <c r="AZ149" s="1893"/>
      <c r="BE149" s="1588"/>
      <c r="BF149" s="21"/>
      <c r="BG149" s="21"/>
      <c r="BH149" s="1536"/>
      <c r="BI149" s="1536"/>
      <c r="BJ149" s="436"/>
    </row>
    <row r="150" spans="14:62" s="20" customFormat="1" x14ac:dyDescent="0.2">
      <c r="N150" s="1607"/>
      <c r="Q150" s="684"/>
      <c r="R150" s="1534"/>
      <c r="T150" s="1588"/>
      <c r="U150" s="1588"/>
      <c r="V150" s="1535"/>
      <c r="W150" s="1535"/>
      <c r="X150" s="1535"/>
      <c r="Y150" s="1835"/>
      <c r="Z150" s="1535"/>
      <c r="AA150" s="1535"/>
      <c r="AZ150" s="1893"/>
      <c r="BE150" s="1588"/>
      <c r="BF150" s="21"/>
      <c r="BG150" s="21"/>
      <c r="BH150" s="1536"/>
      <c r="BI150" s="1536"/>
      <c r="BJ150" s="436"/>
    </row>
    <row r="151" spans="14:62" s="20" customFormat="1" x14ac:dyDescent="0.2">
      <c r="N151" s="1607"/>
      <c r="Q151" s="684"/>
      <c r="R151" s="1534"/>
      <c r="T151" s="1588"/>
      <c r="U151" s="1588"/>
      <c r="V151" s="1535"/>
      <c r="W151" s="1535"/>
      <c r="X151" s="1535"/>
      <c r="Y151" s="1835"/>
      <c r="Z151" s="1535"/>
      <c r="AA151" s="1535"/>
      <c r="AZ151" s="1893"/>
      <c r="BE151" s="1588"/>
      <c r="BF151" s="21"/>
      <c r="BG151" s="21"/>
      <c r="BH151" s="1536"/>
      <c r="BI151" s="1536"/>
      <c r="BJ151" s="436"/>
    </row>
    <row r="152" spans="14:62" s="20" customFormat="1" x14ac:dyDescent="0.2">
      <c r="N152" s="1607"/>
      <c r="Q152" s="684"/>
      <c r="R152" s="1534"/>
      <c r="T152" s="1588"/>
      <c r="U152" s="1588"/>
      <c r="V152" s="1535"/>
      <c r="W152" s="1535"/>
      <c r="X152" s="1535"/>
      <c r="Y152" s="1835"/>
      <c r="Z152" s="1535"/>
      <c r="AA152" s="1535"/>
      <c r="AZ152" s="1893"/>
      <c r="BE152" s="1588"/>
      <c r="BF152" s="21"/>
      <c r="BG152" s="21"/>
      <c r="BH152" s="1536"/>
      <c r="BI152" s="1536"/>
      <c r="BJ152" s="436"/>
    </row>
    <row r="153" spans="14:62" s="20" customFormat="1" x14ac:dyDescent="0.2">
      <c r="N153" s="1607"/>
      <c r="Q153" s="684"/>
      <c r="R153" s="1534"/>
      <c r="T153" s="1588"/>
      <c r="U153" s="1588"/>
      <c r="V153" s="1535"/>
      <c r="W153" s="1535"/>
      <c r="X153" s="1535"/>
      <c r="Y153" s="1835"/>
      <c r="Z153" s="1535"/>
      <c r="AA153" s="1535"/>
      <c r="AZ153" s="1893"/>
      <c r="BE153" s="1588"/>
      <c r="BF153" s="21"/>
      <c r="BG153" s="21"/>
      <c r="BH153" s="1536"/>
      <c r="BI153" s="1536"/>
      <c r="BJ153" s="436"/>
    </row>
    <row r="154" spans="14:62" s="20" customFormat="1" x14ac:dyDescent="0.2">
      <c r="N154" s="1607"/>
      <c r="Q154" s="684"/>
      <c r="R154" s="1534"/>
      <c r="T154" s="1588"/>
      <c r="U154" s="1588"/>
      <c r="V154" s="1535"/>
      <c r="W154" s="1535"/>
      <c r="X154" s="1535"/>
      <c r="Y154" s="1835"/>
      <c r="Z154" s="1535"/>
      <c r="AA154" s="1535"/>
      <c r="AZ154" s="1893"/>
      <c r="BE154" s="1588"/>
      <c r="BF154" s="21"/>
      <c r="BG154" s="21"/>
      <c r="BH154" s="1536"/>
      <c r="BI154" s="1536"/>
      <c r="BJ154" s="436"/>
    </row>
    <row r="155" spans="14:62" s="20" customFormat="1" x14ac:dyDescent="0.2">
      <c r="N155" s="1607"/>
      <c r="Q155" s="684"/>
      <c r="R155" s="1534"/>
      <c r="T155" s="1588"/>
      <c r="U155" s="1588"/>
      <c r="V155" s="1535"/>
      <c r="W155" s="1535"/>
      <c r="X155" s="1535"/>
      <c r="Y155" s="1835"/>
      <c r="Z155" s="1535"/>
      <c r="AA155" s="1535"/>
      <c r="AZ155" s="1893"/>
      <c r="BE155" s="1588"/>
      <c r="BF155" s="21"/>
      <c r="BG155" s="21"/>
      <c r="BH155" s="1536"/>
      <c r="BI155" s="1536"/>
      <c r="BJ155" s="436"/>
    </row>
    <row r="156" spans="14:62" s="20" customFormat="1" x14ac:dyDescent="0.2">
      <c r="N156" s="1607"/>
      <c r="Q156" s="684"/>
      <c r="R156" s="1534"/>
      <c r="T156" s="1588"/>
      <c r="U156" s="1588"/>
      <c r="V156" s="1535"/>
      <c r="W156" s="1535"/>
      <c r="X156" s="1535"/>
      <c r="Y156" s="1835"/>
      <c r="Z156" s="1535"/>
      <c r="AA156" s="1535"/>
      <c r="AZ156" s="1893"/>
      <c r="BE156" s="1588"/>
      <c r="BF156" s="21"/>
      <c r="BG156" s="21"/>
      <c r="BH156" s="1536"/>
      <c r="BI156" s="1536"/>
      <c r="BJ156" s="436"/>
    </row>
    <row r="157" spans="14:62" s="20" customFormat="1" x14ac:dyDescent="0.2">
      <c r="N157" s="1607"/>
      <c r="Q157" s="684"/>
      <c r="R157" s="1534"/>
      <c r="T157" s="1588"/>
      <c r="U157" s="1588"/>
      <c r="V157" s="1535"/>
      <c r="W157" s="1535"/>
      <c r="X157" s="1535"/>
      <c r="Y157" s="1835"/>
      <c r="Z157" s="1535"/>
      <c r="AA157" s="1535"/>
      <c r="AZ157" s="1893"/>
      <c r="BE157" s="1588"/>
      <c r="BF157" s="21"/>
      <c r="BG157" s="21"/>
      <c r="BH157" s="1536"/>
      <c r="BI157" s="1536"/>
      <c r="BJ157" s="436"/>
    </row>
    <row r="158" spans="14:62" s="20" customFormat="1" x14ac:dyDescent="0.2">
      <c r="N158" s="1607"/>
      <c r="Q158" s="684"/>
      <c r="R158" s="1534"/>
      <c r="T158" s="1588"/>
      <c r="U158" s="1588"/>
      <c r="V158" s="1535"/>
      <c r="W158" s="1535"/>
      <c r="X158" s="1535"/>
      <c r="Y158" s="1835"/>
      <c r="Z158" s="1535"/>
      <c r="AA158" s="1535"/>
      <c r="AZ158" s="1893"/>
      <c r="BE158" s="1588"/>
      <c r="BF158" s="21"/>
      <c r="BG158" s="21"/>
      <c r="BH158" s="1536"/>
      <c r="BI158" s="1536"/>
      <c r="BJ158" s="436"/>
    </row>
    <row r="159" spans="14:62" s="20" customFormat="1" x14ac:dyDescent="0.2">
      <c r="N159" s="1607"/>
      <c r="Q159" s="684"/>
      <c r="R159" s="1534"/>
      <c r="T159" s="1588"/>
      <c r="U159" s="1588"/>
      <c r="V159" s="1535"/>
      <c r="W159" s="1535"/>
      <c r="X159" s="1535"/>
      <c r="Y159" s="1835"/>
      <c r="Z159" s="1535"/>
      <c r="AA159" s="1535"/>
      <c r="AZ159" s="1893"/>
      <c r="BE159" s="1588"/>
      <c r="BF159" s="21"/>
      <c r="BG159" s="21"/>
      <c r="BH159" s="1536"/>
      <c r="BI159" s="1536"/>
      <c r="BJ159" s="436"/>
    </row>
    <row r="160" spans="14:62" s="20" customFormat="1" x14ac:dyDescent="0.2">
      <c r="N160" s="1607"/>
      <c r="Q160" s="684"/>
      <c r="R160" s="1534"/>
      <c r="T160" s="1588"/>
      <c r="U160" s="1588"/>
      <c r="V160" s="1535"/>
      <c r="W160" s="1535"/>
      <c r="X160" s="1535"/>
      <c r="Y160" s="1835"/>
      <c r="Z160" s="1535"/>
      <c r="AA160" s="1535"/>
      <c r="AZ160" s="1893"/>
      <c r="BE160" s="1588"/>
      <c r="BF160" s="21"/>
      <c r="BG160" s="21"/>
      <c r="BH160" s="1536"/>
      <c r="BI160" s="1536"/>
      <c r="BJ160" s="436"/>
    </row>
    <row r="161" spans="14:62" s="20" customFormat="1" x14ac:dyDescent="0.2">
      <c r="N161" s="1607"/>
      <c r="Q161" s="684"/>
      <c r="R161" s="1534"/>
      <c r="T161" s="1588"/>
      <c r="U161" s="1588"/>
      <c r="V161" s="1535"/>
      <c r="W161" s="1535"/>
      <c r="X161" s="1535"/>
      <c r="Y161" s="1835"/>
      <c r="Z161" s="1535"/>
      <c r="AA161" s="1535"/>
      <c r="AZ161" s="1893"/>
      <c r="BE161" s="1588"/>
      <c r="BF161" s="21"/>
      <c r="BG161" s="21"/>
      <c r="BH161" s="1536"/>
      <c r="BI161" s="1536"/>
      <c r="BJ161" s="436"/>
    </row>
    <row r="162" spans="14:62" s="20" customFormat="1" x14ac:dyDescent="0.2">
      <c r="N162" s="1607"/>
      <c r="Q162" s="684"/>
      <c r="R162" s="1534"/>
      <c r="T162" s="1588"/>
      <c r="U162" s="1588"/>
      <c r="V162" s="1535"/>
      <c r="W162" s="1535"/>
      <c r="X162" s="1535"/>
      <c r="Y162" s="1835"/>
      <c r="Z162" s="1535"/>
      <c r="AA162" s="1535"/>
      <c r="AZ162" s="1893"/>
      <c r="BE162" s="1588"/>
      <c r="BF162" s="21"/>
      <c r="BG162" s="21"/>
      <c r="BH162" s="1536"/>
      <c r="BI162" s="1536"/>
      <c r="BJ162" s="436"/>
    </row>
    <row r="163" spans="14:62" s="20" customFormat="1" x14ac:dyDescent="0.2">
      <c r="N163" s="1607"/>
      <c r="Q163" s="684"/>
      <c r="R163" s="1534"/>
      <c r="T163" s="1588"/>
      <c r="U163" s="1588"/>
      <c r="V163" s="1535"/>
      <c r="W163" s="1535"/>
      <c r="X163" s="1535"/>
      <c r="Y163" s="1835"/>
      <c r="Z163" s="1535"/>
      <c r="AA163" s="1535"/>
      <c r="AZ163" s="1893"/>
      <c r="BE163" s="1588"/>
      <c r="BF163" s="21"/>
      <c r="BG163" s="21"/>
      <c r="BH163" s="1536"/>
      <c r="BI163" s="1536"/>
      <c r="BJ163" s="436"/>
    </row>
    <row r="164" spans="14:62" s="20" customFormat="1" x14ac:dyDescent="0.2">
      <c r="N164" s="1607"/>
      <c r="Q164" s="684"/>
      <c r="R164" s="1534"/>
      <c r="T164" s="1588"/>
      <c r="U164" s="1588"/>
      <c r="V164" s="1535"/>
      <c r="W164" s="1535"/>
      <c r="X164" s="1535"/>
      <c r="Y164" s="1835"/>
      <c r="Z164" s="1535"/>
      <c r="AA164" s="1535"/>
      <c r="AZ164" s="1893"/>
      <c r="BE164" s="1588"/>
      <c r="BF164" s="21"/>
      <c r="BG164" s="21"/>
      <c r="BH164" s="1536"/>
      <c r="BI164" s="1536"/>
      <c r="BJ164" s="436"/>
    </row>
    <row r="165" spans="14:62" s="20" customFormat="1" x14ac:dyDescent="0.2">
      <c r="N165" s="1607"/>
      <c r="Q165" s="684"/>
      <c r="R165" s="1534"/>
      <c r="T165" s="1588"/>
      <c r="U165" s="1588"/>
      <c r="V165" s="1535"/>
      <c r="W165" s="1535"/>
      <c r="X165" s="1535"/>
      <c r="Y165" s="1835"/>
      <c r="Z165" s="1535"/>
      <c r="AA165" s="1535"/>
      <c r="AZ165" s="1893"/>
      <c r="BE165" s="1588"/>
      <c r="BF165" s="21"/>
      <c r="BG165" s="21"/>
      <c r="BH165" s="1536"/>
      <c r="BI165" s="1536"/>
      <c r="BJ165" s="436"/>
    </row>
    <row r="166" spans="14:62" s="20" customFormat="1" x14ac:dyDescent="0.2">
      <c r="N166" s="1607"/>
      <c r="Q166" s="684"/>
      <c r="R166" s="1534"/>
      <c r="T166" s="1588"/>
      <c r="U166" s="1588"/>
      <c r="V166" s="1535"/>
      <c r="W166" s="1535"/>
      <c r="X166" s="1535"/>
      <c r="Y166" s="1835"/>
      <c r="Z166" s="1535"/>
      <c r="AA166" s="1535"/>
      <c r="AZ166" s="1893"/>
      <c r="BE166" s="1588"/>
      <c r="BF166" s="21"/>
      <c r="BG166" s="21"/>
      <c r="BH166" s="1536"/>
      <c r="BI166" s="1536"/>
      <c r="BJ166" s="436"/>
    </row>
    <row r="167" spans="14:62" s="20" customFormat="1" x14ac:dyDescent="0.2">
      <c r="N167" s="1607"/>
      <c r="Q167" s="684"/>
      <c r="R167" s="1534"/>
      <c r="T167" s="1588"/>
      <c r="U167" s="1588"/>
      <c r="V167" s="1535"/>
      <c r="W167" s="1535"/>
      <c r="X167" s="1535"/>
      <c r="Y167" s="1835"/>
      <c r="Z167" s="1535"/>
      <c r="AA167" s="1535"/>
      <c r="AZ167" s="1893"/>
      <c r="BE167" s="1588"/>
      <c r="BF167" s="21"/>
      <c r="BG167" s="21"/>
      <c r="BH167" s="1536"/>
      <c r="BI167" s="1536"/>
      <c r="BJ167" s="436"/>
    </row>
    <row r="168" spans="14:62" s="20" customFormat="1" x14ac:dyDescent="0.2">
      <c r="N168" s="1607"/>
      <c r="Q168" s="684"/>
      <c r="R168" s="1534"/>
      <c r="T168" s="1588"/>
      <c r="U168" s="1588"/>
      <c r="V168" s="1535"/>
      <c r="W168" s="1535"/>
      <c r="X168" s="1535"/>
      <c r="Y168" s="1835"/>
      <c r="Z168" s="1535"/>
      <c r="AA168" s="1535"/>
      <c r="AZ168" s="1893"/>
      <c r="BE168" s="1588"/>
      <c r="BF168" s="21"/>
      <c r="BG168" s="21"/>
      <c r="BH168" s="1536"/>
      <c r="BI168" s="1536"/>
      <c r="BJ168" s="436"/>
    </row>
    <row r="169" spans="14:62" s="20" customFormat="1" x14ac:dyDescent="0.2">
      <c r="N169" s="1607"/>
      <c r="Q169" s="684"/>
      <c r="R169" s="1534"/>
      <c r="T169" s="1588"/>
      <c r="U169" s="1588"/>
      <c r="V169" s="1535"/>
      <c r="W169" s="1535"/>
      <c r="X169" s="1535"/>
      <c r="Y169" s="1835"/>
      <c r="Z169" s="1535"/>
      <c r="AA169" s="1535"/>
      <c r="AZ169" s="1893"/>
      <c r="BE169" s="1588"/>
      <c r="BF169" s="21"/>
      <c r="BG169" s="21"/>
      <c r="BH169" s="1536"/>
      <c r="BI169" s="1536"/>
      <c r="BJ169" s="436"/>
    </row>
    <row r="170" spans="14:62" s="20" customFormat="1" x14ac:dyDescent="0.2">
      <c r="N170" s="1607"/>
      <c r="Q170" s="684"/>
      <c r="R170" s="1534"/>
      <c r="T170" s="1588"/>
      <c r="U170" s="1588"/>
      <c r="V170" s="1535"/>
      <c r="W170" s="1535"/>
      <c r="X170" s="1535"/>
      <c r="Y170" s="1835"/>
      <c r="Z170" s="1535"/>
      <c r="AA170" s="1535"/>
      <c r="AZ170" s="1893"/>
      <c r="BE170" s="1588"/>
      <c r="BF170" s="21"/>
      <c r="BG170" s="21"/>
      <c r="BH170" s="1536"/>
      <c r="BI170" s="1536"/>
      <c r="BJ170" s="436"/>
    </row>
    <row r="171" spans="14:62" s="20" customFormat="1" x14ac:dyDescent="0.2">
      <c r="N171" s="1607"/>
      <c r="Q171" s="684"/>
      <c r="R171" s="1534"/>
      <c r="T171" s="1588"/>
      <c r="U171" s="1588"/>
      <c r="V171" s="1535"/>
      <c r="W171" s="1535"/>
      <c r="X171" s="1535"/>
      <c r="Y171" s="1835"/>
      <c r="Z171" s="1535"/>
      <c r="AA171" s="1535"/>
      <c r="AZ171" s="1893"/>
      <c r="BE171" s="1588"/>
      <c r="BF171" s="21"/>
      <c r="BG171" s="21"/>
      <c r="BH171" s="1536"/>
      <c r="BI171" s="1536"/>
      <c r="BJ171" s="436"/>
    </row>
    <row r="172" spans="14:62" s="20" customFormat="1" x14ac:dyDescent="0.2">
      <c r="N172" s="1607"/>
      <c r="Q172" s="684"/>
      <c r="R172" s="1534"/>
      <c r="T172" s="1588"/>
      <c r="U172" s="1588"/>
      <c r="V172" s="1535"/>
      <c r="W172" s="1535"/>
      <c r="X172" s="1535"/>
      <c r="Y172" s="1835"/>
      <c r="Z172" s="1535"/>
      <c r="AA172" s="1535"/>
      <c r="AZ172" s="1893"/>
      <c r="BE172" s="1588"/>
      <c r="BF172" s="21"/>
      <c r="BG172" s="21"/>
      <c r="BH172" s="1536"/>
      <c r="BI172" s="1536"/>
      <c r="BJ172" s="436"/>
    </row>
    <row r="173" spans="14:62" s="20" customFormat="1" x14ac:dyDescent="0.2">
      <c r="N173" s="1607"/>
      <c r="Q173" s="684"/>
      <c r="R173" s="1534"/>
      <c r="T173" s="1588"/>
      <c r="U173" s="1588"/>
      <c r="V173" s="1535"/>
      <c r="W173" s="1535"/>
      <c r="X173" s="1535"/>
      <c r="Y173" s="1835"/>
      <c r="Z173" s="1535"/>
      <c r="AA173" s="1535"/>
      <c r="AZ173" s="1893"/>
      <c r="BE173" s="1588"/>
      <c r="BF173" s="21"/>
      <c r="BG173" s="21"/>
      <c r="BH173" s="1536"/>
      <c r="BI173" s="1536"/>
      <c r="BJ173" s="436"/>
    </row>
    <row r="174" spans="14:62" s="20" customFormat="1" x14ac:dyDescent="0.2">
      <c r="N174" s="1607"/>
      <c r="Q174" s="684"/>
      <c r="R174" s="1534"/>
      <c r="T174" s="1588"/>
      <c r="U174" s="1588"/>
      <c r="V174" s="1535"/>
      <c r="W174" s="1535"/>
      <c r="X174" s="1535"/>
      <c r="Y174" s="1835"/>
      <c r="Z174" s="1535"/>
      <c r="AA174" s="1535"/>
      <c r="AZ174" s="1893"/>
      <c r="BE174" s="1588"/>
      <c r="BF174" s="21"/>
      <c r="BG174" s="21"/>
      <c r="BH174" s="1536"/>
      <c r="BI174" s="1536"/>
      <c r="BJ174" s="436"/>
    </row>
    <row r="175" spans="14:62" s="20" customFormat="1" x14ac:dyDescent="0.2">
      <c r="N175" s="1607"/>
      <c r="Q175" s="684"/>
      <c r="R175" s="1534"/>
      <c r="T175" s="1588"/>
      <c r="U175" s="1588"/>
      <c r="V175" s="1535"/>
      <c r="W175" s="1535"/>
      <c r="X175" s="1535"/>
      <c r="Y175" s="1835"/>
      <c r="Z175" s="1535"/>
      <c r="AA175" s="1535"/>
      <c r="AZ175" s="1893"/>
      <c r="BE175" s="1588"/>
      <c r="BF175" s="21"/>
      <c r="BG175" s="21"/>
      <c r="BH175" s="1536"/>
      <c r="BI175" s="1536"/>
      <c r="BJ175" s="436"/>
    </row>
    <row r="176" spans="14:62" s="20" customFormat="1" x14ac:dyDescent="0.2">
      <c r="N176" s="1607"/>
      <c r="Q176" s="684"/>
      <c r="R176" s="1534"/>
      <c r="T176" s="1588"/>
      <c r="U176" s="1588"/>
      <c r="V176" s="1535"/>
      <c r="W176" s="1535"/>
      <c r="X176" s="1535"/>
      <c r="Y176" s="1835"/>
      <c r="Z176" s="1535"/>
      <c r="AA176" s="1535"/>
      <c r="AZ176" s="1893"/>
      <c r="BE176" s="1588"/>
      <c r="BF176" s="21"/>
      <c r="BG176" s="21"/>
      <c r="BH176" s="1536"/>
      <c r="BI176" s="1536"/>
      <c r="BJ176" s="436"/>
    </row>
    <row r="177" spans="14:62" s="20" customFormat="1" x14ac:dyDescent="0.2">
      <c r="N177" s="1607"/>
      <c r="Q177" s="684"/>
      <c r="R177" s="1534"/>
      <c r="T177" s="1588"/>
      <c r="U177" s="1588"/>
      <c r="V177" s="1535"/>
      <c r="W177" s="1535"/>
      <c r="X177" s="1535"/>
      <c r="Y177" s="1835"/>
      <c r="Z177" s="1535"/>
      <c r="AA177" s="1535"/>
      <c r="AZ177" s="1893"/>
      <c r="BE177" s="1588"/>
      <c r="BF177" s="21"/>
      <c r="BG177" s="21"/>
      <c r="BH177" s="1536"/>
      <c r="BI177" s="1536"/>
      <c r="BJ177" s="436"/>
    </row>
    <row r="178" spans="14:62" s="20" customFormat="1" x14ac:dyDescent="0.2">
      <c r="N178" s="1607"/>
      <c r="Q178" s="684"/>
      <c r="R178" s="1534"/>
      <c r="T178" s="1588"/>
      <c r="U178" s="1588"/>
      <c r="V178" s="1535"/>
      <c r="W178" s="1535"/>
      <c r="X178" s="1535"/>
      <c r="Y178" s="1835"/>
      <c r="Z178" s="1535"/>
      <c r="AA178" s="1535"/>
      <c r="AZ178" s="1893"/>
      <c r="BE178" s="1588"/>
      <c r="BF178" s="21"/>
      <c r="BG178" s="21"/>
      <c r="BH178" s="1536"/>
      <c r="BI178" s="1536"/>
      <c r="BJ178" s="436"/>
    </row>
    <row r="179" spans="14:62" s="20" customFormat="1" x14ac:dyDescent="0.2">
      <c r="N179" s="1607"/>
      <c r="Q179" s="684"/>
      <c r="R179" s="1534"/>
      <c r="T179" s="1588"/>
      <c r="U179" s="1588"/>
      <c r="V179" s="1535"/>
      <c r="W179" s="1535"/>
      <c r="X179" s="1535"/>
      <c r="Y179" s="1835"/>
      <c r="Z179" s="1535"/>
      <c r="AA179" s="1535"/>
      <c r="AZ179" s="1893"/>
      <c r="BE179" s="1588"/>
      <c r="BF179" s="21"/>
      <c r="BG179" s="21"/>
      <c r="BH179" s="1536"/>
      <c r="BI179" s="1536"/>
      <c r="BJ179" s="436"/>
    </row>
    <row r="180" spans="14:62" s="20" customFormat="1" x14ac:dyDescent="0.2">
      <c r="N180" s="1607"/>
      <c r="Q180" s="684"/>
      <c r="R180" s="1534"/>
      <c r="T180" s="1588"/>
      <c r="U180" s="1588"/>
      <c r="V180" s="1535"/>
      <c r="W180" s="1535"/>
      <c r="X180" s="1535"/>
      <c r="Y180" s="1835"/>
      <c r="Z180" s="1535"/>
      <c r="AA180" s="1535"/>
      <c r="AZ180" s="1893"/>
      <c r="BE180" s="1588"/>
      <c r="BF180" s="21"/>
      <c r="BG180" s="21"/>
      <c r="BH180" s="1536"/>
      <c r="BI180" s="1536"/>
      <c r="BJ180" s="436"/>
    </row>
    <row r="181" spans="14:62" s="20" customFormat="1" x14ac:dyDescent="0.2">
      <c r="N181" s="1607"/>
      <c r="Q181" s="684"/>
      <c r="R181" s="1534"/>
      <c r="T181" s="1588"/>
      <c r="U181" s="1588"/>
      <c r="V181" s="1535"/>
      <c r="W181" s="1535"/>
      <c r="X181" s="1535"/>
      <c r="Y181" s="1835"/>
      <c r="Z181" s="1535"/>
      <c r="AA181" s="1535"/>
      <c r="AZ181" s="1893"/>
      <c r="BE181" s="1588"/>
      <c r="BF181" s="21"/>
      <c r="BG181" s="21"/>
      <c r="BH181" s="1536"/>
      <c r="BI181" s="1536"/>
      <c r="BJ181" s="436"/>
    </row>
    <row r="182" spans="14:62" s="20" customFormat="1" x14ac:dyDescent="0.2">
      <c r="N182" s="1607"/>
      <c r="Q182" s="684"/>
      <c r="R182" s="1534"/>
      <c r="T182" s="1588"/>
      <c r="U182" s="1588"/>
      <c r="V182" s="1535"/>
      <c r="W182" s="1535"/>
      <c r="X182" s="1535"/>
      <c r="Y182" s="1835"/>
      <c r="Z182" s="1535"/>
      <c r="AA182" s="1535"/>
      <c r="AZ182" s="1893"/>
      <c r="BE182" s="1588"/>
      <c r="BF182" s="21"/>
      <c r="BG182" s="21"/>
      <c r="BH182" s="1536"/>
      <c r="BI182" s="1536"/>
      <c r="BJ182" s="436"/>
    </row>
    <row r="183" spans="14:62" s="20" customFormat="1" x14ac:dyDescent="0.2">
      <c r="N183" s="1607"/>
      <c r="Q183" s="684"/>
      <c r="R183" s="1534"/>
      <c r="T183" s="1588"/>
      <c r="U183" s="1588"/>
      <c r="V183" s="1535"/>
      <c r="W183" s="1535"/>
      <c r="X183" s="1535"/>
      <c r="Y183" s="1835"/>
      <c r="Z183" s="1535"/>
      <c r="AA183" s="1535"/>
      <c r="AZ183" s="1893"/>
      <c r="BE183" s="1588"/>
      <c r="BF183" s="21"/>
      <c r="BG183" s="21"/>
      <c r="BH183" s="1536"/>
      <c r="BI183" s="1536"/>
      <c r="BJ183" s="436"/>
    </row>
    <row r="184" spans="14:62" s="20" customFormat="1" x14ac:dyDescent="0.2">
      <c r="N184" s="1607"/>
      <c r="Q184" s="684"/>
      <c r="R184" s="1534"/>
      <c r="T184" s="1588"/>
      <c r="U184" s="1588"/>
      <c r="V184" s="1535"/>
      <c r="W184" s="1535"/>
      <c r="X184" s="1535"/>
      <c r="Y184" s="1835"/>
      <c r="Z184" s="1535"/>
      <c r="AA184" s="1535"/>
      <c r="AZ184" s="1893"/>
      <c r="BE184" s="1588"/>
      <c r="BF184" s="21"/>
      <c r="BG184" s="21"/>
      <c r="BH184" s="1536"/>
      <c r="BI184" s="1536"/>
      <c r="BJ184" s="436"/>
    </row>
    <row r="185" spans="14:62" s="20" customFormat="1" x14ac:dyDescent="0.2">
      <c r="N185" s="1607"/>
      <c r="Q185" s="684"/>
      <c r="R185" s="1534"/>
      <c r="T185" s="1588"/>
      <c r="U185" s="1588"/>
      <c r="V185" s="1535"/>
      <c r="W185" s="1535"/>
      <c r="X185" s="1535"/>
      <c r="Y185" s="1835"/>
      <c r="Z185" s="1535"/>
      <c r="AA185" s="1535"/>
      <c r="AZ185" s="1893"/>
      <c r="BE185" s="1588"/>
      <c r="BF185" s="21"/>
      <c r="BG185" s="21"/>
      <c r="BH185" s="1536"/>
      <c r="BI185" s="1536"/>
      <c r="BJ185" s="436"/>
    </row>
    <row r="186" spans="14:62" s="20" customFormat="1" x14ac:dyDescent="0.2">
      <c r="N186" s="1607"/>
      <c r="Q186" s="684"/>
      <c r="R186" s="1534"/>
      <c r="T186" s="1588"/>
      <c r="U186" s="1588"/>
      <c r="V186" s="1535"/>
      <c r="W186" s="1535"/>
      <c r="X186" s="1535"/>
      <c r="Y186" s="1835"/>
      <c r="Z186" s="1535"/>
      <c r="AA186" s="1535"/>
      <c r="AZ186" s="1893"/>
      <c r="BE186" s="1588"/>
      <c r="BF186" s="21"/>
      <c r="BG186" s="21"/>
      <c r="BH186" s="1536"/>
      <c r="BI186" s="1536"/>
      <c r="BJ186" s="436"/>
    </row>
    <row r="187" spans="14:62" s="20" customFormat="1" x14ac:dyDescent="0.2">
      <c r="N187" s="1607"/>
      <c r="Q187" s="684"/>
      <c r="R187" s="1534"/>
      <c r="T187" s="1588"/>
      <c r="U187" s="1588"/>
      <c r="V187" s="1535"/>
      <c r="W187" s="1535"/>
      <c r="X187" s="1535"/>
      <c r="Y187" s="1835"/>
      <c r="Z187" s="1535"/>
      <c r="AA187" s="1535"/>
      <c r="AZ187" s="1893"/>
      <c r="BE187" s="1588"/>
      <c r="BF187" s="21"/>
      <c r="BG187" s="21"/>
      <c r="BH187" s="1536"/>
      <c r="BI187" s="1536"/>
      <c r="BJ187" s="436"/>
    </row>
    <row r="188" spans="14:62" s="20" customFormat="1" x14ac:dyDescent="0.2">
      <c r="N188" s="1607"/>
      <c r="Q188" s="684"/>
      <c r="R188" s="1534"/>
      <c r="T188" s="1588"/>
      <c r="U188" s="1588"/>
      <c r="V188" s="1535"/>
      <c r="W188" s="1535"/>
      <c r="X188" s="1535"/>
      <c r="Y188" s="1835"/>
      <c r="Z188" s="1535"/>
      <c r="AA188" s="1535"/>
      <c r="AZ188" s="1893"/>
      <c r="BE188" s="1588"/>
      <c r="BF188" s="21"/>
      <c r="BG188" s="21"/>
      <c r="BH188" s="1536"/>
      <c r="BI188" s="1536"/>
      <c r="BJ188" s="436"/>
    </row>
    <row r="189" spans="14:62" s="20" customFormat="1" x14ac:dyDescent="0.2">
      <c r="N189" s="1607"/>
      <c r="Q189" s="684"/>
      <c r="R189" s="1534"/>
      <c r="T189" s="1588"/>
      <c r="U189" s="1588"/>
      <c r="V189" s="1535"/>
      <c r="W189" s="1535"/>
      <c r="X189" s="1535"/>
      <c r="Y189" s="1835"/>
      <c r="Z189" s="1535"/>
      <c r="AA189" s="1535"/>
      <c r="AZ189" s="1893"/>
      <c r="BE189" s="1588"/>
      <c r="BF189" s="21"/>
      <c r="BG189" s="21"/>
      <c r="BH189" s="1536"/>
      <c r="BI189" s="1536"/>
      <c r="BJ189" s="436"/>
    </row>
    <row r="190" spans="14:62" s="20" customFormat="1" x14ac:dyDescent="0.2">
      <c r="N190" s="1607"/>
      <c r="Q190" s="684"/>
      <c r="R190" s="1534"/>
      <c r="T190" s="1588"/>
      <c r="U190" s="1588"/>
      <c r="V190" s="1535"/>
      <c r="W190" s="1535"/>
      <c r="X190" s="1535"/>
      <c r="Y190" s="1835"/>
      <c r="Z190" s="1535"/>
      <c r="AA190" s="1535"/>
      <c r="AZ190" s="1893"/>
      <c r="BE190" s="1588"/>
      <c r="BF190" s="21"/>
      <c r="BG190" s="21"/>
      <c r="BH190" s="1536"/>
      <c r="BI190" s="1536"/>
      <c r="BJ190" s="436"/>
    </row>
    <row r="191" spans="14:62" s="20" customFormat="1" x14ac:dyDescent="0.2">
      <c r="N191" s="1607"/>
      <c r="Q191" s="684"/>
      <c r="R191" s="1534"/>
      <c r="T191" s="1588"/>
      <c r="U191" s="1588"/>
      <c r="V191" s="1535"/>
      <c r="W191" s="1535"/>
      <c r="X191" s="1535"/>
      <c r="Y191" s="1835"/>
      <c r="Z191" s="1535"/>
      <c r="AA191" s="1535"/>
      <c r="AZ191" s="1893"/>
      <c r="BE191" s="1588"/>
      <c r="BF191" s="21"/>
      <c r="BG191" s="21"/>
      <c r="BH191" s="1536"/>
      <c r="BI191" s="1536"/>
      <c r="BJ191" s="436"/>
    </row>
    <row r="192" spans="14:62" s="20" customFormat="1" x14ac:dyDescent="0.2">
      <c r="N192" s="1607"/>
      <c r="Q192" s="684"/>
      <c r="R192" s="1534"/>
      <c r="T192" s="1588"/>
      <c r="U192" s="1588"/>
      <c r="V192" s="1535"/>
      <c r="W192" s="1535"/>
      <c r="X192" s="1535"/>
      <c r="Y192" s="1835"/>
      <c r="Z192" s="1535"/>
      <c r="AA192" s="1535"/>
      <c r="AZ192" s="1893"/>
      <c r="BE192" s="1588"/>
      <c r="BF192" s="21"/>
      <c r="BG192" s="21"/>
      <c r="BH192" s="1536"/>
      <c r="BI192" s="1536"/>
      <c r="BJ192" s="436"/>
    </row>
    <row r="193" spans="14:62" s="20" customFormat="1" x14ac:dyDescent="0.2">
      <c r="N193" s="1607"/>
      <c r="Q193" s="684"/>
      <c r="R193" s="1534"/>
      <c r="T193" s="1588"/>
      <c r="U193" s="1588"/>
      <c r="V193" s="1535"/>
      <c r="W193" s="1535"/>
      <c r="X193" s="1535"/>
      <c r="Y193" s="1835"/>
      <c r="Z193" s="1535"/>
      <c r="AA193" s="1535"/>
      <c r="AZ193" s="1893"/>
      <c r="BE193" s="1588"/>
      <c r="BF193" s="21"/>
      <c r="BG193" s="21"/>
      <c r="BH193" s="1536"/>
      <c r="BI193" s="1536"/>
      <c r="BJ193" s="436"/>
    </row>
    <row r="194" spans="14:62" s="20" customFormat="1" x14ac:dyDescent="0.2">
      <c r="N194" s="1607"/>
      <c r="Q194" s="684"/>
      <c r="R194" s="1534"/>
      <c r="T194" s="1588"/>
      <c r="U194" s="1588"/>
      <c r="V194" s="1535"/>
      <c r="W194" s="1535"/>
      <c r="X194" s="1535"/>
      <c r="Y194" s="1835"/>
      <c r="Z194" s="1535"/>
      <c r="AA194" s="1535"/>
      <c r="AZ194" s="1893"/>
      <c r="BE194" s="1588"/>
      <c r="BF194" s="21"/>
      <c r="BG194" s="21"/>
      <c r="BH194" s="1536"/>
      <c r="BI194" s="1536"/>
      <c r="BJ194" s="436"/>
    </row>
    <row r="195" spans="14:62" s="20" customFormat="1" x14ac:dyDescent="0.2">
      <c r="N195" s="1607"/>
      <c r="Q195" s="684"/>
      <c r="R195" s="1534"/>
      <c r="T195" s="1588"/>
      <c r="U195" s="1588"/>
      <c r="V195" s="1535"/>
      <c r="W195" s="1535"/>
      <c r="X195" s="1535"/>
      <c r="Y195" s="1835"/>
      <c r="Z195" s="1535"/>
      <c r="AA195" s="1535"/>
      <c r="AZ195" s="1893"/>
      <c r="BE195" s="1588"/>
      <c r="BF195" s="21"/>
      <c r="BG195" s="21"/>
      <c r="BH195" s="1536"/>
      <c r="BI195" s="1536"/>
      <c r="BJ195" s="436"/>
    </row>
    <row r="196" spans="14:62" s="20" customFormat="1" x14ac:dyDescent="0.2">
      <c r="N196" s="1607"/>
      <c r="Q196" s="684"/>
      <c r="R196" s="1534"/>
      <c r="T196" s="1588"/>
      <c r="U196" s="1588"/>
      <c r="V196" s="1535"/>
      <c r="W196" s="1535"/>
      <c r="X196" s="1535"/>
      <c r="Y196" s="1835"/>
      <c r="Z196" s="1535"/>
      <c r="AA196" s="1535"/>
      <c r="AZ196" s="1893"/>
      <c r="BE196" s="1588"/>
      <c r="BF196" s="21"/>
      <c r="BG196" s="21"/>
      <c r="BH196" s="1536"/>
      <c r="BI196" s="1536"/>
      <c r="BJ196" s="436"/>
    </row>
    <row r="197" spans="14:62" s="20" customFormat="1" x14ac:dyDescent="0.2">
      <c r="N197" s="1607"/>
      <c r="Q197" s="684"/>
      <c r="R197" s="1534"/>
      <c r="T197" s="1588"/>
      <c r="U197" s="1588"/>
      <c r="V197" s="1535"/>
      <c r="W197" s="1535"/>
      <c r="X197" s="1535"/>
      <c r="Y197" s="1835"/>
      <c r="Z197" s="1535"/>
      <c r="AA197" s="1535"/>
      <c r="AZ197" s="1893"/>
      <c r="BE197" s="1588"/>
      <c r="BF197" s="21"/>
      <c r="BG197" s="21"/>
      <c r="BH197" s="1536"/>
      <c r="BI197" s="1536"/>
      <c r="BJ197" s="436"/>
    </row>
    <row r="198" spans="14:62" s="20" customFormat="1" x14ac:dyDescent="0.2">
      <c r="N198" s="1607"/>
      <c r="Q198" s="684"/>
      <c r="R198" s="1534"/>
      <c r="T198" s="1588"/>
      <c r="U198" s="1588"/>
      <c r="V198" s="1535"/>
      <c r="W198" s="1535"/>
      <c r="X198" s="1535"/>
      <c r="Y198" s="1835"/>
      <c r="Z198" s="1535"/>
      <c r="AA198" s="1535"/>
      <c r="AZ198" s="1893"/>
      <c r="BE198" s="1588"/>
      <c r="BF198" s="21"/>
      <c r="BG198" s="21"/>
      <c r="BH198" s="1536"/>
      <c r="BI198" s="1536"/>
      <c r="BJ198" s="436"/>
    </row>
    <row r="199" spans="14:62" s="20" customFormat="1" x14ac:dyDescent="0.2">
      <c r="N199" s="1607"/>
      <c r="Q199" s="684"/>
      <c r="R199" s="1534"/>
      <c r="T199" s="1588"/>
      <c r="U199" s="1588"/>
      <c r="V199" s="1535"/>
      <c r="W199" s="1535"/>
      <c r="X199" s="1535"/>
      <c r="Y199" s="1835"/>
      <c r="Z199" s="1535"/>
      <c r="AA199" s="1535"/>
      <c r="AZ199" s="1893"/>
      <c r="BE199" s="1588"/>
      <c r="BF199" s="21"/>
      <c r="BG199" s="21"/>
      <c r="BH199" s="1536"/>
      <c r="BI199" s="1536"/>
      <c r="BJ199" s="436"/>
    </row>
    <row r="200" spans="14:62" s="20" customFormat="1" x14ac:dyDescent="0.2">
      <c r="N200" s="1607"/>
      <c r="Q200" s="684"/>
      <c r="R200" s="1534"/>
      <c r="T200" s="1588"/>
      <c r="U200" s="1588"/>
      <c r="V200" s="1535"/>
      <c r="W200" s="1535"/>
      <c r="X200" s="1535"/>
      <c r="Y200" s="1835"/>
      <c r="Z200" s="1535"/>
      <c r="AA200" s="1535"/>
      <c r="AZ200" s="1893"/>
      <c r="BE200" s="1588"/>
      <c r="BF200" s="21"/>
      <c r="BG200" s="21"/>
      <c r="BH200" s="1536"/>
      <c r="BI200" s="1536"/>
      <c r="BJ200" s="436"/>
    </row>
    <row r="201" spans="14:62" s="20" customFormat="1" x14ac:dyDescent="0.2">
      <c r="N201" s="1607"/>
      <c r="Q201" s="684"/>
      <c r="R201" s="1534"/>
      <c r="T201" s="1588"/>
      <c r="U201" s="1588"/>
      <c r="V201" s="1535"/>
      <c r="W201" s="1535"/>
      <c r="X201" s="1535"/>
      <c r="Y201" s="1835"/>
      <c r="Z201" s="1535"/>
      <c r="AA201" s="1535"/>
      <c r="AZ201" s="1893"/>
      <c r="BE201" s="1588"/>
      <c r="BF201" s="21"/>
      <c r="BG201" s="21"/>
      <c r="BH201" s="1536"/>
      <c r="BI201" s="1536"/>
      <c r="BJ201" s="436"/>
    </row>
    <row r="202" spans="14:62" s="20" customFormat="1" x14ac:dyDescent="0.2">
      <c r="N202" s="1607"/>
      <c r="Q202" s="684"/>
      <c r="R202" s="1534"/>
      <c r="T202" s="1588"/>
      <c r="U202" s="1588"/>
      <c r="V202" s="1535"/>
      <c r="W202" s="1535"/>
      <c r="X202" s="1535"/>
      <c r="Y202" s="1835"/>
      <c r="Z202" s="1535"/>
      <c r="AA202" s="1535"/>
      <c r="AZ202" s="1893"/>
      <c r="BE202" s="1588"/>
      <c r="BF202" s="21"/>
      <c r="BG202" s="21"/>
      <c r="BH202" s="1536"/>
      <c r="BI202" s="1536"/>
      <c r="BJ202" s="436"/>
    </row>
    <row r="203" spans="14:62" s="20" customFormat="1" x14ac:dyDescent="0.2">
      <c r="N203" s="1607"/>
      <c r="Q203" s="684"/>
      <c r="R203" s="1534"/>
      <c r="T203" s="1588"/>
      <c r="U203" s="1588"/>
      <c r="V203" s="1535"/>
      <c r="W203" s="1535"/>
      <c r="X203" s="1535"/>
      <c r="Y203" s="1835"/>
      <c r="Z203" s="1535"/>
      <c r="AA203" s="1535"/>
      <c r="AZ203" s="1893"/>
      <c r="BE203" s="1588"/>
      <c r="BF203" s="21"/>
      <c r="BG203" s="21"/>
      <c r="BH203" s="1536"/>
      <c r="BI203" s="1536"/>
      <c r="BJ203" s="436"/>
    </row>
    <row r="204" spans="14:62" s="20" customFormat="1" x14ac:dyDescent="0.2">
      <c r="N204" s="1607"/>
      <c r="Q204" s="684"/>
      <c r="R204" s="1534"/>
      <c r="T204" s="1588"/>
      <c r="U204" s="1588"/>
      <c r="V204" s="1535"/>
      <c r="W204" s="1535"/>
      <c r="X204" s="1535"/>
      <c r="Y204" s="1835"/>
      <c r="Z204" s="1535"/>
      <c r="AA204" s="1535"/>
      <c r="AZ204" s="1893"/>
      <c r="BE204" s="1588"/>
      <c r="BF204" s="21"/>
      <c r="BG204" s="21"/>
      <c r="BH204" s="1536"/>
      <c r="BI204" s="1536"/>
      <c r="BJ204" s="436"/>
    </row>
    <row r="205" spans="14:62" s="20" customFormat="1" x14ac:dyDescent="0.2">
      <c r="N205" s="1607"/>
      <c r="Q205" s="684"/>
      <c r="R205" s="1534"/>
      <c r="T205" s="1588"/>
      <c r="U205" s="1588"/>
      <c r="V205" s="1535"/>
      <c r="W205" s="1535"/>
      <c r="X205" s="1535"/>
      <c r="Y205" s="1835"/>
      <c r="Z205" s="1535"/>
      <c r="AA205" s="1535"/>
      <c r="AZ205" s="1893"/>
      <c r="BE205" s="1588"/>
      <c r="BF205" s="21"/>
      <c r="BG205" s="21"/>
      <c r="BH205" s="1536"/>
      <c r="BI205" s="1536"/>
      <c r="BJ205" s="436"/>
    </row>
    <row r="206" spans="14:62" s="20" customFormat="1" x14ac:dyDescent="0.2">
      <c r="N206" s="1607"/>
      <c r="Q206" s="684"/>
      <c r="R206" s="1534"/>
      <c r="T206" s="1588"/>
      <c r="U206" s="1588"/>
      <c r="V206" s="1535"/>
      <c r="W206" s="1535"/>
      <c r="X206" s="1535"/>
      <c r="Y206" s="1835"/>
      <c r="Z206" s="1535"/>
      <c r="AA206" s="1535"/>
      <c r="AZ206" s="1893"/>
      <c r="BE206" s="1588"/>
      <c r="BF206" s="21"/>
      <c r="BG206" s="21"/>
      <c r="BH206" s="1536"/>
      <c r="BI206" s="1536"/>
      <c r="BJ206" s="436"/>
    </row>
    <row r="207" spans="14:62" s="20" customFormat="1" x14ac:dyDescent="0.2">
      <c r="N207" s="1607"/>
      <c r="Q207" s="684"/>
      <c r="R207" s="1534"/>
      <c r="T207" s="1588"/>
      <c r="U207" s="1588"/>
      <c r="V207" s="1535"/>
      <c r="W207" s="1535"/>
      <c r="X207" s="1535"/>
      <c r="Y207" s="1835"/>
      <c r="Z207" s="1535"/>
      <c r="AA207" s="1535"/>
      <c r="AZ207" s="1893"/>
      <c r="BE207" s="1588"/>
      <c r="BF207" s="21"/>
      <c r="BG207" s="21"/>
      <c r="BH207" s="1536"/>
      <c r="BI207" s="1536"/>
      <c r="BJ207" s="436"/>
    </row>
    <row r="208" spans="14:62" s="20" customFormat="1" x14ac:dyDescent="0.2">
      <c r="N208" s="1607"/>
      <c r="Q208" s="684"/>
      <c r="R208" s="1534"/>
      <c r="T208" s="1588"/>
      <c r="U208" s="1588"/>
      <c r="V208" s="1535"/>
      <c r="W208" s="1535"/>
      <c r="X208" s="1535"/>
      <c r="Y208" s="1835"/>
      <c r="Z208" s="1535"/>
      <c r="AA208" s="1535"/>
      <c r="AZ208" s="1893"/>
      <c r="BE208" s="1588"/>
      <c r="BF208" s="21"/>
      <c r="BG208" s="21"/>
      <c r="BH208" s="1536"/>
      <c r="BI208" s="1536"/>
      <c r="BJ208" s="436"/>
    </row>
    <row r="209" spans="14:62" s="20" customFormat="1" x14ac:dyDescent="0.2">
      <c r="N209" s="1607"/>
      <c r="Q209" s="684"/>
      <c r="R209" s="1534"/>
      <c r="T209" s="1588"/>
      <c r="U209" s="1588"/>
      <c r="V209" s="1535"/>
      <c r="W209" s="1535"/>
      <c r="X209" s="1535"/>
      <c r="Y209" s="1835"/>
      <c r="Z209" s="1535"/>
      <c r="AA209" s="1535"/>
      <c r="AZ209" s="1893"/>
      <c r="BE209" s="1588"/>
      <c r="BF209" s="21"/>
      <c r="BG209" s="21"/>
      <c r="BH209" s="1536"/>
      <c r="BI209" s="1536"/>
      <c r="BJ209" s="436"/>
    </row>
    <row r="210" spans="14:62" s="20" customFormat="1" x14ac:dyDescent="0.2">
      <c r="N210" s="1607"/>
      <c r="Q210" s="684"/>
      <c r="R210" s="1534"/>
      <c r="T210" s="1588"/>
      <c r="U210" s="1588"/>
      <c r="V210" s="1535"/>
      <c r="W210" s="1535"/>
      <c r="X210" s="1535"/>
      <c r="Y210" s="1835"/>
      <c r="Z210" s="1535"/>
      <c r="AA210" s="1535"/>
      <c r="AZ210" s="1893"/>
      <c r="BE210" s="1588"/>
      <c r="BF210" s="21"/>
      <c r="BG210" s="21"/>
      <c r="BH210" s="1536"/>
      <c r="BI210" s="1536"/>
      <c r="BJ210" s="436"/>
    </row>
    <row r="211" spans="14:62" s="20" customFormat="1" x14ac:dyDescent="0.2">
      <c r="N211" s="1607"/>
      <c r="Q211" s="684"/>
      <c r="R211" s="1534"/>
      <c r="T211" s="1588"/>
      <c r="U211" s="1588"/>
      <c r="V211" s="1535"/>
      <c r="W211" s="1535"/>
      <c r="X211" s="1535"/>
      <c r="Y211" s="1835"/>
      <c r="Z211" s="1535"/>
      <c r="AA211" s="1535"/>
      <c r="AZ211" s="1893"/>
      <c r="BE211" s="1588"/>
      <c r="BF211" s="21"/>
      <c r="BG211" s="21"/>
      <c r="BH211" s="1536"/>
      <c r="BI211" s="1536"/>
      <c r="BJ211" s="436"/>
    </row>
    <row r="212" spans="14:62" s="20" customFormat="1" x14ac:dyDescent="0.2">
      <c r="N212" s="1607"/>
      <c r="Q212" s="684"/>
      <c r="R212" s="1534"/>
      <c r="T212" s="1588"/>
      <c r="U212" s="1588"/>
      <c r="V212" s="1535"/>
      <c r="W212" s="1535"/>
      <c r="X212" s="1535"/>
      <c r="Y212" s="1835"/>
      <c r="Z212" s="1535"/>
      <c r="AA212" s="1535"/>
      <c r="AZ212" s="1893"/>
      <c r="BE212" s="1588"/>
      <c r="BF212" s="21"/>
      <c r="BG212" s="21"/>
      <c r="BH212" s="1536"/>
      <c r="BI212" s="1536"/>
      <c r="BJ212" s="436"/>
    </row>
    <row r="213" spans="14:62" s="20" customFormat="1" x14ac:dyDescent="0.2">
      <c r="N213" s="1607"/>
      <c r="Q213" s="684"/>
      <c r="R213" s="1534"/>
      <c r="T213" s="1588"/>
      <c r="U213" s="1588"/>
      <c r="V213" s="1535"/>
      <c r="W213" s="1535"/>
      <c r="X213" s="1535"/>
      <c r="Y213" s="1835"/>
      <c r="Z213" s="1535"/>
      <c r="AA213" s="1535"/>
      <c r="AZ213" s="1893"/>
      <c r="BE213" s="1588"/>
      <c r="BF213" s="21"/>
      <c r="BG213" s="21"/>
      <c r="BH213" s="1536"/>
      <c r="BI213" s="1536"/>
      <c r="BJ213" s="436"/>
    </row>
    <row r="214" spans="14:62" s="20" customFormat="1" x14ac:dyDescent="0.2">
      <c r="N214" s="1607"/>
      <c r="Q214" s="684"/>
      <c r="R214" s="1534"/>
      <c r="T214" s="1588"/>
      <c r="U214" s="1588"/>
      <c r="V214" s="1535"/>
      <c r="W214" s="1535"/>
      <c r="X214" s="1535"/>
      <c r="Y214" s="1835"/>
      <c r="Z214" s="1535"/>
      <c r="AA214" s="1535"/>
      <c r="AZ214" s="1893"/>
      <c r="BE214" s="1588"/>
      <c r="BF214" s="21"/>
      <c r="BG214" s="21"/>
      <c r="BH214" s="1536"/>
      <c r="BI214" s="1536"/>
      <c r="BJ214" s="436"/>
    </row>
    <row r="215" spans="14:62" s="20" customFormat="1" x14ac:dyDescent="0.2">
      <c r="N215" s="1607"/>
      <c r="Q215" s="684"/>
      <c r="R215" s="1534"/>
      <c r="T215" s="1588"/>
      <c r="U215" s="1588"/>
      <c r="V215" s="1535"/>
      <c r="W215" s="1535"/>
      <c r="X215" s="1535"/>
      <c r="Y215" s="1835"/>
      <c r="Z215" s="1535"/>
      <c r="AA215" s="1535"/>
      <c r="AZ215" s="1893"/>
      <c r="BE215" s="1588"/>
      <c r="BF215" s="21"/>
      <c r="BG215" s="21"/>
      <c r="BH215" s="1536"/>
      <c r="BI215" s="1536"/>
      <c r="BJ215" s="436"/>
    </row>
    <row r="216" spans="14:62" s="20" customFormat="1" x14ac:dyDescent="0.2">
      <c r="N216" s="1607"/>
      <c r="Q216" s="684"/>
      <c r="R216" s="1534"/>
      <c r="T216" s="1588"/>
      <c r="U216" s="1588"/>
      <c r="V216" s="1535"/>
      <c r="W216" s="1535"/>
      <c r="X216" s="1535"/>
      <c r="Y216" s="1835"/>
      <c r="Z216" s="1535"/>
      <c r="AA216" s="1535"/>
      <c r="AZ216" s="1893"/>
      <c r="BE216" s="1588"/>
      <c r="BF216" s="21"/>
      <c r="BG216" s="21"/>
      <c r="BH216" s="1536"/>
      <c r="BI216" s="1536"/>
      <c r="BJ216" s="436"/>
    </row>
    <row r="217" spans="14:62" s="20" customFormat="1" x14ac:dyDescent="0.2">
      <c r="N217" s="1607"/>
      <c r="Q217" s="684"/>
      <c r="R217" s="1534"/>
      <c r="T217" s="1588"/>
      <c r="U217" s="1588"/>
      <c r="V217" s="1535"/>
      <c r="W217" s="1535"/>
      <c r="X217" s="1535"/>
      <c r="Y217" s="1835"/>
      <c r="Z217" s="1535"/>
      <c r="AA217" s="1535"/>
      <c r="AZ217" s="1893"/>
      <c r="BE217" s="1588"/>
      <c r="BF217" s="21"/>
      <c r="BG217" s="21"/>
      <c r="BH217" s="1536"/>
      <c r="BI217" s="1536"/>
      <c r="BJ217" s="436"/>
    </row>
    <row r="218" spans="14:62" s="20" customFormat="1" x14ac:dyDescent="0.2">
      <c r="N218" s="1607"/>
      <c r="Q218" s="684"/>
      <c r="R218" s="1534"/>
      <c r="T218" s="1588"/>
      <c r="U218" s="1588"/>
      <c r="V218" s="1535"/>
      <c r="W218" s="1535"/>
      <c r="X218" s="1535"/>
      <c r="Y218" s="1835"/>
      <c r="Z218" s="1535"/>
      <c r="AA218" s="1535"/>
      <c r="AZ218" s="1893"/>
      <c r="BE218" s="1588"/>
      <c r="BF218" s="21"/>
      <c r="BG218" s="21"/>
      <c r="BH218" s="1536"/>
      <c r="BI218" s="1536"/>
      <c r="BJ218" s="436"/>
    </row>
    <row r="219" spans="14:62" s="20" customFormat="1" x14ac:dyDescent="0.2">
      <c r="N219" s="1607"/>
      <c r="Q219" s="684"/>
      <c r="R219" s="1534"/>
      <c r="T219" s="1588"/>
      <c r="U219" s="1588"/>
      <c r="V219" s="1535"/>
      <c r="W219" s="1535"/>
      <c r="X219" s="1535"/>
      <c r="Y219" s="1835"/>
      <c r="Z219" s="1535"/>
      <c r="AA219" s="1535"/>
      <c r="AZ219" s="1893"/>
      <c r="BE219" s="1588"/>
      <c r="BF219" s="21"/>
      <c r="BG219" s="21"/>
      <c r="BH219" s="1536"/>
      <c r="BI219" s="1536"/>
      <c r="BJ219" s="436"/>
    </row>
    <row r="220" spans="14:62" s="20" customFormat="1" x14ac:dyDescent="0.2">
      <c r="N220" s="1607"/>
      <c r="Q220" s="684"/>
      <c r="R220" s="1534"/>
      <c r="T220" s="1588"/>
      <c r="U220" s="1588"/>
      <c r="V220" s="1535"/>
      <c r="W220" s="1535"/>
      <c r="X220" s="1535"/>
      <c r="Y220" s="1835"/>
      <c r="Z220" s="1535"/>
      <c r="AA220" s="1535"/>
      <c r="AZ220" s="1893"/>
      <c r="BE220" s="1588"/>
      <c r="BF220" s="21"/>
      <c r="BG220" s="21"/>
      <c r="BH220" s="1536"/>
      <c r="BI220" s="1536"/>
      <c r="BJ220" s="436"/>
    </row>
    <row r="221" spans="14:62" s="20" customFormat="1" x14ac:dyDescent="0.2">
      <c r="N221" s="1607"/>
      <c r="Q221" s="684"/>
      <c r="R221" s="1534"/>
      <c r="T221" s="1588"/>
      <c r="U221" s="1588"/>
      <c r="V221" s="1535"/>
      <c r="W221" s="1535"/>
      <c r="X221" s="1535"/>
      <c r="Y221" s="1835"/>
      <c r="Z221" s="1535"/>
      <c r="AA221" s="1535"/>
      <c r="AZ221" s="1893"/>
      <c r="BE221" s="1588"/>
      <c r="BF221" s="21"/>
      <c r="BG221" s="21"/>
      <c r="BH221" s="1536"/>
      <c r="BI221" s="1536"/>
      <c r="BJ221" s="436"/>
    </row>
    <row r="222" spans="14:62" s="20" customFormat="1" x14ac:dyDescent="0.2">
      <c r="N222" s="1607"/>
      <c r="Q222" s="684"/>
      <c r="R222" s="1534"/>
      <c r="T222" s="1588"/>
      <c r="U222" s="1588"/>
      <c r="V222" s="1535"/>
      <c r="W222" s="1535"/>
      <c r="X222" s="1535"/>
      <c r="Y222" s="1835"/>
      <c r="Z222" s="1535"/>
      <c r="AA222" s="1535"/>
      <c r="AZ222" s="1893"/>
      <c r="BE222" s="1588"/>
      <c r="BF222" s="21"/>
      <c r="BG222" s="21"/>
      <c r="BH222" s="1536"/>
      <c r="BI222" s="1536"/>
      <c r="BJ222" s="436"/>
    </row>
    <row r="223" spans="14:62" s="20" customFormat="1" x14ac:dyDescent="0.2">
      <c r="N223" s="1607"/>
      <c r="Q223" s="684"/>
      <c r="R223" s="1534"/>
      <c r="T223" s="1588"/>
      <c r="U223" s="1588"/>
      <c r="V223" s="1535"/>
      <c r="W223" s="1535"/>
      <c r="X223" s="1535"/>
      <c r="Y223" s="1835"/>
      <c r="Z223" s="1535"/>
      <c r="AA223" s="1535"/>
      <c r="AZ223" s="1893"/>
      <c r="BE223" s="1588"/>
      <c r="BF223" s="21"/>
      <c r="BG223" s="21"/>
      <c r="BH223" s="1536"/>
      <c r="BI223" s="1536"/>
      <c r="BJ223" s="436"/>
    </row>
    <row r="224" spans="14:62" s="20" customFormat="1" x14ac:dyDescent="0.2">
      <c r="N224" s="1607"/>
      <c r="Q224" s="684"/>
      <c r="R224" s="1534"/>
      <c r="T224" s="1588"/>
      <c r="U224" s="1588"/>
      <c r="V224" s="1535"/>
      <c r="W224" s="1535"/>
      <c r="X224" s="1535"/>
      <c r="Y224" s="1835"/>
      <c r="Z224" s="1535"/>
      <c r="AA224" s="1535"/>
      <c r="AZ224" s="1893"/>
      <c r="BE224" s="1588"/>
      <c r="BF224" s="21"/>
      <c r="BG224" s="21"/>
      <c r="BH224" s="1536"/>
      <c r="BI224" s="1536"/>
      <c r="BJ224" s="436"/>
    </row>
    <row r="225" spans="14:62" s="20" customFormat="1" x14ac:dyDescent="0.2">
      <c r="N225" s="1607"/>
      <c r="Q225" s="684"/>
      <c r="R225" s="1534"/>
      <c r="T225" s="1588"/>
      <c r="U225" s="1588"/>
      <c r="V225" s="1535"/>
      <c r="W225" s="1535"/>
      <c r="X225" s="1535"/>
      <c r="Y225" s="1835"/>
      <c r="Z225" s="1535"/>
      <c r="AA225" s="1535"/>
      <c r="AZ225" s="1893"/>
      <c r="BE225" s="1588"/>
      <c r="BF225" s="21"/>
      <c r="BG225" s="21"/>
      <c r="BH225" s="1536"/>
      <c r="BI225" s="1536"/>
      <c r="BJ225" s="436"/>
    </row>
    <row r="226" spans="14:62" s="20" customFormat="1" x14ac:dyDescent="0.2">
      <c r="N226" s="1607"/>
      <c r="Q226" s="684"/>
      <c r="R226" s="1534"/>
      <c r="T226" s="1588"/>
      <c r="U226" s="1588"/>
      <c r="V226" s="1535"/>
      <c r="W226" s="1535"/>
      <c r="X226" s="1535"/>
      <c r="Y226" s="1835"/>
      <c r="Z226" s="1535"/>
      <c r="AA226" s="1535"/>
      <c r="AZ226" s="1893"/>
      <c r="BE226" s="1588"/>
      <c r="BF226" s="21"/>
      <c r="BG226" s="21"/>
      <c r="BH226" s="1536"/>
      <c r="BI226" s="1536"/>
      <c r="BJ226" s="436"/>
    </row>
    <row r="227" spans="14:62" s="20" customFormat="1" x14ac:dyDescent="0.2">
      <c r="N227" s="1607"/>
      <c r="Q227" s="684"/>
      <c r="R227" s="1534"/>
      <c r="T227" s="1588"/>
      <c r="U227" s="1588"/>
      <c r="V227" s="1535"/>
      <c r="W227" s="1535"/>
      <c r="X227" s="1535"/>
      <c r="Y227" s="1835"/>
      <c r="Z227" s="1535"/>
      <c r="AA227" s="1535"/>
      <c r="AZ227" s="1893"/>
      <c r="BE227" s="1588"/>
      <c r="BF227" s="21"/>
      <c r="BG227" s="21"/>
      <c r="BH227" s="1536"/>
      <c r="BI227" s="1536"/>
      <c r="BJ227" s="436"/>
    </row>
    <row r="228" spans="14:62" s="20" customFormat="1" x14ac:dyDescent="0.2">
      <c r="N228" s="1607"/>
      <c r="Q228" s="684"/>
      <c r="R228" s="1534"/>
      <c r="T228" s="1588"/>
      <c r="U228" s="1588"/>
      <c r="V228" s="1535"/>
      <c r="W228" s="1535"/>
      <c r="X228" s="1535"/>
      <c r="Y228" s="1835"/>
      <c r="Z228" s="1535"/>
      <c r="AA228" s="1535"/>
      <c r="AZ228" s="1893"/>
      <c r="BE228" s="1588"/>
      <c r="BF228" s="21"/>
      <c r="BG228" s="21"/>
      <c r="BH228" s="1536"/>
      <c r="BI228" s="1536"/>
      <c r="BJ228" s="436"/>
    </row>
    <row r="229" spans="14:62" s="20" customFormat="1" x14ac:dyDescent="0.2">
      <c r="N229" s="1607"/>
      <c r="Q229" s="684"/>
      <c r="R229" s="1534"/>
      <c r="T229" s="1588"/>
      <c r="U229" s="1588"/>
      <c r="V229" s="1535"/>
      <c r="W229" s="1535"/>
      <c r="X229" s="1535"/>
      <c r="Y229" s="1835"/>
      <c r="Z229" s="1535"/>
      <c r="AA229" s="1535"/>
      <c r="AZ229" s="1893"/>
      <c r="BE229" s="1588"/>
      <c r="BF229" s="21"/>
      <c r="BG229" s="21"/>
      <c r="BH229" s="1536"/>
      <c r="BI229" s="1536"/>
      <c r="BJ229" s="436"/>
    </row>
    <row r="230" spans="14:62" s="20" customFormat="1" x14ac:dyDescent="0.2">
      <c r="N230" s="1607"/>
      <c r="Q230" s="684"/>
      <c r="R230" s="1534"/>
      <c r="T230" s="1588"/>
      <c r="U230" s="1588"/>
      <c r="V230" s="1535"/>
      <c r="W230" s="1535"/>
      <c r="X230" s="1535"/>
      <c r="Y230" s="1835"/>
      <c r="Z230" s="1535"/>
      <c r="AA230" s="1535"/>
      <c r="AZ230" s="1893"/>
      <c r="BE230" s="1588"/>
      <c r="BF230" s="21"/>
      <c r="BG230" s="21"/>
      <c r="BH230" s="1536"/>
      <c r="BI230" s="1536"/>
      <c r="BJ230" s="436"/>
    </row>
    <row r="231" spans="14:62" s="20" customFormat="1" x14ac:dyDescent="0.2">
      <c r="N231" s="1607"/>
      <c r="Q231" s="684"/>
      <c r="R231" s="1534"/>
      <c r="T231" s="1588"/>
      <c r="U231" s="1588"/>
      <c r="V231" s="1535"/>
      <c r="W231" s="1535"/>
      <c r="X231" s="1535"/>
      <c r="Y231" s="1835"/>
      <c r="Z231" s="1535"/>
      <c r="AA231" s="1535"/>
      <c r="AZ231" s="1893"/>
      <c r="BE231" s="1588"/>
      <c r="BF231" s="21"/>
      <c r="BG231" s="21"/>
      <c r="BH231" s="1536"/>
      <c r="BI231" s="1536"/>
      <c r="BJ231" s="436"/>
    </row>
    <row r="232" spans="14:62" s="20" customFormat="1" x14ac:dyDescent="0.2">
      <c r="N232" s="1607"/>
      <c r="Q232" s="684"/>
      <c r="R232" s="1534"/>
      <c r="T232" s="1588"/>
      <c r="U232" s="1588"/>
      <c r="V232" s="1535"/>
      <c r="W232" s="1535"/>
      <c r="X232" s="1535"/>
      <c r="Y232" s="1835"/>
      <c r="Z232" s="1535"/>
      <c r="AA232" s="1535"/>
      <c r="AZ232" s="1893"/>
      <c r="BE232" s="1588"/>
      <c r="BF232" s="21"/>
      <c r="BG232" s="21"/>
      <c r="BH232" s="1536"/>
      <c r="BI232" s="1536"/>
      <c r="BJ232" s="436"/>
    </row>
    <row r="233" spans="14:62" s="20" customFormat="1" x14ac:dyDescent="0.2">
      <c r="N233" s="1607"/>
      <c r="Q233" s="684"/>
      <c r="R233" s="1534"/>
      <c r="T233" s="1588"/>
      <c r="U233" s="1588"/>
      <c r="V233" s="1535"/>
      <c r="W233" s="1535"/>
      <c r="X233" s="1535"/>
      <c r="Y233" s="1835"/>
      <c r="Z233" s="1535"/>
      <c r="AA233" s="1535"/>
      <c r="AZ233" s="1893"/>
      <c r="BE233" s="1588"/>
      <c r="BF233" s="21"/>
      <c r="BG233" s="21"/>
      <c r="BH233" s="1536"/>
      <c r="BI233" s="1536"/>
      <c r="BJ233" s="436"/>
    </row>
    <row r="234" spans="14:62" s="20" customFormat="1" x14ac:dyDescent="0.2">
      <c r="N234" s="1607"/>
      <c r="Q234" s="684"/>
      <c r="R234" s="1534"/>
      <c r="T234" s="1588"/>
      <c r="U234" s="1588"/>
      <c r="V234" s="1535"/>
      <c r="W234" s="1535"/>
      <c r="X234" s="1535"/>
      <c r="Y234" s="1835"/>
      <c r="Z234" s="1535"/>
      <c r="AA234" s="1535"/>
      <c r="AZ234" s="1893"/>
      <c r="BE234" s="1588"/>
      <c r="BF234" s="21"/>
      <c r="BG234" s="21"/>
      <c r="BH234" s="1536"/>
      <c r="BI234" s="1536"/>
      <c r="BJ234" s="436"/>
    </row>
    <row r="235" spans="14:62" s="20" customFormat="1" x14ac:dyDescent="0.2">
      <c r="N235" s="1607"/>
      <c r="Q235" s="684"/>
      <c r="R235" s="1534"/>
      <c r="T235" s="1588"/>
      <c r="U235" s="1588"/>
      <c r="V235" s="1535"/>
      <c r="W235" s="1535"/>
      <c r="X235" s="1535"/>
      <c r="Y235" s="1835"/>
      <c r="Z235" s="1535"/>
      <c r="AA235" s="1535"/>
      <c r="AZ235" s="1893"/>
      <c r="BE235" s="1588"/>
      <c r="BF235" s="21"/>
      <c r="BG235" s="21"/>
      <c r="BH235" s="1536"/>
      <c r="BI235" s="1536"/>
      <c r="BJ235" s="436"/>
    </row>
    <row r="236" spans="14:62" s="20" customFormat="1" x14ac:dyDescent="0.2">
      <c r="N236" s="1607"/>
      <c r="Q236" s="684"/>
      <c r="R236" s="1534"/>
      <c r="T236" s="1588"/>
      <c r="U236" s="1588"/>
      <c r="V236" s="1535"/>
      <c r="W236" s="1535"/>
      <c r="X236" s="1535"/>
      <c r="Y236" s="1835"/>
      <c r="Z236" s="1535"/>
      <c r="AA236" s="1535"/>
      <c r="AZ236" s="1893"/>
      <c r="BE236" s="1588"/>
      <c r="BF236" s="21"/>
      <c r="BG236" s="21"/>
      <c r="BH236" s="1536"/>
      <c r="BI236" s="1536"/>
      <c r="BJ236" s="436"/>
    </row>
    <row r="237" spans="14:62" s="20" customFormat="1" x14ac:dyDescent="0.2">
      <c r="N237" s="1607"/>
      <c r="Q237" s="684"/>
      <c r="R237" s="1534"/>
      <c r="T237" s="1588"/>
      <c r="U237" s="1588"/>
      <c r="V237" s="1535"/>
      <c r="W237" s="1535"/>
      <c r="X237" s="1535"/>
      <c r="Y237" s="1835"/>
      <c r="Z237" s="1535"/>
      <c r="AA237" s="1535"/>
      <c r="AZ237" s="1893"/>
      <c r="BE237" s="1588"/>
      <c r="BF237" s="21"/>
      <c r="BG237" s="21"/>
      <c r="BH237" s="1536"/>
      <c r="BI237" s="1536"/>
      <c r="BJ237" s="436"/>
    </row>
    <row r="238" spans="14:62" s="20" customFormat="1" x14ac:dyDescent="0.2">
      <c r="N238" s="1607"/>
      <c r="Q238" s="684"/>
      <c r="R238" s="1534"/>
      <c r="T238" s="1588"/>
      <c r="U238" s="1588"/>
      <c r="V238" s="1535"/>
      <c r="W238" s="1535"/>
      <c r="X238" s="1535"/>
      <c r="Y238" s="1835"/>
      <c r="Z238" s="1535"/>
      <c r="AA238" s="1535"/>
      <c r="AZ238" s="1893"/>
      <c r="BE238" s="1588"/>
      <c r="BF238" s="21"/>
      <c r="BG238" s="21"/>
      <c r="BH238" s="1536"/>
      <c r="BI238" s="1536"/>
      <c r="BJ238" s="436"/>
    </row>
    <row r="239" spans="14:62" s="20" customFormat="1" x14ac:dyDescent="0.2">
      <c r="N239" s="1607"/>
      <c r="Q239" s="684"/>
      <c r="R239" s="1534"/>
      <c r="T239" s="1588"/>
      <c r="U239" s="1588"/>
      <c r="V239" s="1535"/>
      <c r="W239" s="1535"/>
      <c r="X239" s="1535"/>
      <c r="Y239" s="1835"/>
      <c r="Z239" s="1535"/>
      <c r="AA239" s="1535"/>
      <c r="AZ239" s="1893"/>
      <c r="BE239" s="1588"/>
      <c r="BF239" s="21"/>
      <c r="BG239" s="21"/>
      <c r="BH239" s="1536"/>
      <c r="BI239" s="1536"/>
      <c r="BJ239" s="436"/>
    </row>
    <row r="240" spans="14:62" s="20" customFormat="1" x14ac:dyDescent="0.2">
      <c r="N240" s="1607"/>
      <c r="Q240" s="684"/>
      <c r="R240" s="1534"/>
      <c r="T240" s="1588"/>
      <c r="U240" s="1588"/>
      <c r="V240" s="1535"/>
      <c r="W240" s="1535"/>
      <c r="X240" s="1535"/>
      <c r="Y240" s="1835"/>
      <c r="Z240" s="1535"/>
      <c r="AA240" s="1535"/>
      <c r="AZ240" s="1893"/>
      <c r="BE240" s="1588"/>
      <c r="BF240" s="21"/>
      <c r="BG240" s="21"/>
      <c r="BH240" s="1536"/>
      <c r="BI240" s="1536"/>
      <c r="BJ240" s="436"/>
    </row>
    <row r="241" spans="14:62" s="20" customFormat="1" x14ac:dyDescent="0.2">
      <c r="N241" s="1607"/>
      <c r="Q241" s="684"/>
      <c r="R241" s="1534"/>
      <c r="T241" s="1588"/>
      <c r="U241" s="1588"/>
      <c r="V241" s="1535"/>
      <c r="W241" s="1535"/>
      <c r="X241" s="1535"/>
      <c r="Y241" s="1835"/>
      <c r="Z241" s="1535"/>
      <c r="AA241" s="1535"/>
      <c r="AZ241" s="1893"/>
      <c r="BE241" s="1588"/>
      <c r="BF241" s="21"/>
      <c r="BG241" s="21"/>
      <c r="BH241" s="1536"/>
      <c r="BI241" s="1536"/>
      <c r="BJ241" s="436"/>
    </row>
    <row r="242" spans="14:62" s="20" customFormat="1" x14ac:dyDescent="0.2">
      <c r="N242" s="1607"/>
      <c r="Q242" s="684"/>
      <c r="R242" s="1534"/>
      <c r="T242" s="1588"/>
      <c r="U242" s="1588"/>
      <c r="V242" s="1535"/>
      <c r="W242" s="1535"/>
      <c r="X242" s="1535"/>
      <c r="Y242" s="1835"/>
      <c r="Z242" s="1535"/>
      <c r="AA242" s="1535"/>
      <c r="AZ242" s="1893"/>
      <c r="BE242" s="1588"/>
      <c r="BF242" s="21"/>
      <c r="BG242" s="21"/>
      <c r="BH242" s="1536"/>
      <c r="BI242" s="1536"/>
      <c r="BJ242" s="436"/>
    </row>
    <row r="243" spans="14:62" s="20" customFormat="1" x14ac:dyDescent="0.2">
      <c r="N243" s="1607"/>
      <c r="Q243" s="684"/>
      <c r="R243" s="1534"/>
      <c r="T243" s="1588"/>
      <c r="U243" s="1588"/>
      <c r="V243" s="1535"/>
      <c r="W243" s="1535"/>
      <c r="X243" s="1535"/>
      <c r="Y243" s="1835"/>
      <c r="Z243" s="1535"/>
      <c r="AA243" s="1535"/>
      <c r="AZ243" s="1893"/>
      <c r="BE243" s="1588"/>
      <c r="BF243" s="21"/>
      <c r="BG243" s="21"/>
      <c r="BH243" s="1536"/>
      <c r="BI243" s="1536"/>
      <c r="BJ243" s="436"/>
    </row>
    <row r="244" spans="14:62" s="20" customFormat="1" x14ac:dyDescent="0.2">
      <c r="N244" s="1607"/>
      <c r="Q244" s="684"/>
      <c r="R244" s="1534"/>
      <c r="T244" s="1588"/>
      <c r="U244" s="1588"/>
      <c r="V244" s="1535"/>
      <c r="W244" s="1535"/>
      <c r="X244" s="1535"/>
      <c r="Y244" s="1835"/>
      <c r="Z244" s="1535"/>
      <c r="AA244" s="1535"/>
      <c r="AZ244" s="1893"/>
      <c r="BE244" s="1588"/>
      <c r="BF244" s="21"/>
      <c r="BG244" s="21"/>
      <c r="BH244" s="1536"/>
      <c r="BI244" s="1536"/>
      <c r="BJ244" s="436"/>
    </row>
    <row r="245" spans="14:62" s="20" customFormat="1" x14ac:dyDescent="0.2">
      <c r="N245" s="1607"/>
      <c r="Q245" s="684"/>
      <c r="R245" s="1534"/>
      <c r="T245" s="1588"/>
      <c r="U245" s="1588"/>
      <c r="V245" s="1535"/>
      <c r="W245" s="1535"/>
      <c r="X245" s="1535"/>
      <c r="Y245" s="1835"/>
      <c r="Z245" s="1535"/>
      <c r="AA245" s="1535"/>
      <c r="AZ245" s="1893"/>
      <c r="BE245" s="1588"/>
      <c r="BF245" s="21"/>
      <c r="BG245" s="21"/>
      <c r="BH245" s="1536"/>
      <c r="BI245" s="1536"/>
      <c r="BJ245" s="436"/>
    </row>
    <row r="246" spans="14:62" s="20" customFormat="1" x14ac:dyDescent="0.2">
      <c r="N246" s="1607"/>
      <c r="Q246" s="684"/>
      <c r="R246" s="1534"/>
      <c r="T246" s="1588"/>
      <c r="U246" s="1588"/>
      <c r="V246" s="1535"/>
      <c r="W246" s="1535"/>
      <c r="X246" s="1535"/>
      <c r="Y246" s="1835"/>
      <c r="Z246" s="1535"/>
      <c r="AA246" s="1535"/>
      <c r="AZ246" s="1893"/>
      <c r="BE246" s="1588"/>
      <c r="BF246" s="21"/>
      <c r="BG246" s="21"/>
      <c r="BH246" s="1536"/>
      <c r="BI246" s="1536"/>
      <c r="BJ246" s="436"/>
    </row>
    <row r="247" spans="14:62" s="20" customFormat="1" x14ac:dyDescent="0.2">
      <c r="N247" s="1607"/>
      <c r="Q247" s="684"/>
      <c r="R247" s="1534"/>
      <c r="T247" s="1588"/>
      <c r="U247" s="1588"/>
      <c r="V247" s="1535"/>
      <c r="W247" s="1535"/>
      <c r="X247" s="1535"/>
      <c r="Y247" s="1835"/>
      <c r="Z247" s="1535"/>
      <c r="AA247" s="1535"/>
      <c r="AZ247" s="1893"/>
      <c r="BE247" s="1588"/>
      <c r="BF247" s="21"/>
      <c r="BG247" s="21"/>
      <c r="BH247" s="1536"/>
      <c r="BI247" s="1536"/>
      <c r="BJ247" s="436"/>
    </row>
    <row r="248" spans="14:62" s="20" customFormat="1" x14ac:dyDescent="0.2">
      <c r="N248" s="1607"/>
      <c r="Q248" s="684"/>
      <c r="R248" s="1534"/>
      <c r="T248" s="1588"/>
      <c r="U248" s="1588"/>
      <c r="V248" s="1535"/>
      <c r="W248" s="1535"/>
      <c r="X248" s="1535"/>
      <c r="Y248" s="1835"/>
      <c r="Z248" s="1535"/>
      <c r="AA248" s="1535"/>
      <c r="AZ248" s="1893"/>
      <c r="BE248" s="1588"/>
      <c r="BF248" s="21"/>
      <c r="BG248" s="21"/>
      <c r="BH248" s="1536"/>
      <c r="BI248" s="1536"/>
      <c r="BJ248" s="436"/>
    </row>
    <row r="249" spans="14:62" s="20" customFormat="1" x14ac:dyDescent="0.2">
      <c r="N249" s="1607"/>
      <c r="Q249" s="684"/>
      <c r="R249" s="1534"/>
      <c r="T249" s="1588"/>
      <c r="U249" s="1588"/>
      <c r="V249" s="1535"/>
      <c r="W249" s="1535"/>
      <c r="X249" s="1535"/>
      <c r="Y249" s="1835"/>
      <c r="Z249" s="1535"/>
      <c r="AA249" s="1535"/>
      <c r="AZ249" s="1893"/>
      <c r="BE249" s="1588"/>
      <c r="BF249" s="21"/>
      <c r="BG249" s="21"/>
      <c r="BH249" s="1536"/>
      <c r="BI249" s="1536"/>
      <c r="BJ249" s="436"/>
    </row>
    <row r="250" spans="14:62" s="20" customFormat="1" x14ac:dyDescent="0.2">
      <c r="N250" s="1607"/>
      <c r="Q250" s="684"/>
      <c r="R250" s="1534"/>
      <c r="T250" s="1588"/>
      <c r="U250" s="1588"/>
      <c r="V250" s="1535"/>
      <c r="W250" s="1535"/>
      <c r="X250" s="1535"/>
      <c r="Y250" s="1835"/>
      <c r="Z250" s="1535"/>
      <c r="AA250" s="1535"/>
      <c r="AZ250" s="1893"/>
      <c r="BE250" s="1588"/>
      <c r="BF250" s="21"/>
      <c r="BG250" s="21"/>
      <c r="BH250" s="1536"/>
      <c r="BI250" s="1536"/>
      <c r="BJ250" s="436"/>
    </row>
    <row r="251" spans="14:62" s="20" customFormat="1" x14ac:dyDescent="0.2">
      <c r="N251" s="1607"/>
      <c r="Q251" s="684"/>
      <c r="R251" s="1534"/>
      <c r="T251" s="1588"/>
      <c r="U251" s="1588"/>
      <c r="V251" s="1535"/>
      <c r="W251" s="1535"/>
      <c r="X251" s="1535"/>
      <c r="Y251" s="1835"/>
      <c r="Z251" s="1535"/>
      <c r="AA251" s="1535"/>
      <c r="AZ251" s="1893"/>
      <c r="BE251" s="1588"/>
      <c r="BF251" s="21"/>
      <c r="BG251" s="21"/>
      <c r="BH251" s="1536"/>
      <c r="BI251" s="1536"/>
      <c r="BJ251" s="436"/>
    </row>
    <row r="252" spans="14:62" s="20" customFormat="1" x14ac:dyDescent="0.2">
      <c r="N252" s="1607"/>
      <c r="Q252" s="684"/>
      <c r="R252" s="1534"/>
      <c r="T252" s="1588"/>
      <c r="U252" s="1588"/>
      <c r="V252" s="1535"/>
      <c r="W252" s="1535"/>
      <c r="X252" s="1535"/>
      <c r="Y252" s="1835"/>
      <c r="Z252" s="1535"/>
      <c r="AA252" s="1535"/>
      <c r="AZ252" s="1893"/>
      <c r="BE252" s="1588"/>
      <c r="BF252" s="21"/>
      <c r="BG252" s="21"/>
      <c r="BH252" s="1536"/>
      <c r="BI252" s="1536"/>
      <c r="BJ252" s="436"/>
    </row>
    <row r="253" spans="14:62" s="20" customFormat="1" x14ac:dyDescent="0.2">
      <c r="N253" s="1607"/>
      <c r="Q253" s="684"/>
      <c r="R253" s="1534"/>
      <c r="T253" s="1588"/>
      <c r="U253" s="1588"/>
      <c r="V253" s="1535"/>
      <c r="W253" s="1535"/>
      <c r="X253" s="1535"/>
      <c r="Y253" s="1835"/>
      <c r="Z253" s="1535"/>
      <c r="AA253" s="1535"/>
      <c r="AZ253" s="1893"/>
      <c r="BE253" s="1588"/>
      <c r="BF253" s="21"/>
      <c r="BG253" s="21"/>
      <c r="BH253" s="1536"/>
      <c r="BI253" s="1536"/>
      <c r="BJ253" s="436"/>
    </row>
    <row r="254" spans="14:62" s="20" customFormat="1" x14ac:dyDescent="0.2">
      <c r="N254" s="1607"/>
      <c r="Q254" s="684"/>
      <c r="R254" s="1534"/>
      <c r="T254" s="1588"/>
      <c r="U254" s="1588"/>
      <c r="V254" s="1535"/>
      <c r="W254" s="1535"/>
      <c r="X254" s="1535"/>
      <c r="Y254" s="1835"/>
      <c r="Z254" s="1535"/>
      <c r="AA254" s="1535"/>
      <c r="AZ254" s="1893"/>
      <c r="BE254" s="1588"/>
      <c r="BF254" s="21"/>
      <c r="BG254" s="21"/>
      <c r="BH254" s="1536"/>
      <c r="BI254" s="1536"/>
      <c r="BJ254" s="436"/>
    </row>
    <row r="255" spans="14:62" s="20" customFormat="1" x14ac:dyDescent="0.2">
      <c r="N255" s="1607"/>
      <c r="Q255" s="684"/>
      <c r="R255" s="1534"/>
      <c r="T255" s="1588"/>
      <c r="U255" s="1588"/>
      <c r="V255" s="1535"/>
      <c r="W255" s="1535"/>
      <c r="X255" s="1535"/>
      <c r="Y255" s="1835"/>
      <c r="Z255" s="1535"/>
      <c r="AA255" s="1535"/>
      <c r="AZ255" s="1893"/>
      <c r="BE255" s="1588"/>
      <c r="BF255" s="21"/>
      <c r="BG255" s="21"/>
      <c r="BH255" s="1536"/>
      <c r="BI255" s="1536"/>
      <c r="BJ255" s="436"/>
    </row>
    <row r="256" spans="14:62" s="20" customFormat="1" x14ac:dyDescent="0.2">
      <c r="N256" s="1607"/>
      <c r="Q256" s="684"/>
      <c r="R256" s="1534"/>
      <c r="T256" s="1588"/>
      <c r="U256" s="1588"/>
      <c r="V256" s="1535"/>
      <c r="W256" s="1535"/>
      <c r="X256" s="1535"/>
      <c r="Y256" s="1835"/>
      <c r="Z256" s="1535"/>
      <c r="AA256" s="1535"/>
      <c r="AZ256" s="1893"/>
      <c r="BE256" s="1588"/>
      <c r="BF256" s="21"/>
      <c r="BG256" s="21"/>
      <c r="BH256" s="1536"/>
      <c r="BI256" s="1536"/>
      <c r="BJ256" s="436"/>
    </row>
    <row r="257" spans="14:62" s="20" customFormat="1" x14ac:dyDescent="0.2">
      <c r="N257" s="1607"/>
      <c r="Q257" s="684"/>
      <c r="R257" s="1534"/>
      <c r="T257" s="1588"/>
      <c r="U257" s="1588"/>
      <c r="V257" s="1535"/>
      <c r="W257" s="1535"/>
      <c r="X257" s="1535"/>
      <c r="Y257" s="1835"/>
      <c r="Z257" s="1535"/>
      <c r="AA257" s="1535"/>
      <c r="AZ257" s="1893"/>
      <c r="BE257" s="1588"/>
      <c r="BF257" s="21"/>
      <c r="BG257" s="21"/>
      <c r="BH257" s="1536"/>
      <c r="BI257" s="1536"/>
      <c r="BJ257" s="436"/>
    </row>
    <row r="258" spans="14:62" s="20" customFormat="1" x14ac:dyDescent="0.2">
      <c r="N258" s="1607"/>
      <c r="Q258" s="684"/>
      <c r="R258" s="1534"/>
      <c r="T258" s="1588"/>
      <c r="U258" s="1588"/>
      <c r="V258" s="1535"/>
      <c r="W258" s="1535"/>
      <c r="X258" s="1535"/>
      <c r="Y258" s="1835"/>
      <c r="Z258" s="1535"/>
      <c r="AA258" s="1535"/>
      <c r="AZ258" s="1893"/>
      <c r="BE258" s="1588"/>
      <c r="BF258" s="21"/>
      <c r="BG258" s="21"/>
      <c r="BH258" s="1536"/>
      <c r="BI258" s="1536"/>
      <c r="BJ258" s="436"/>
    </row>
    <row r="259" spans="14:62" s="20" customFormat="1" x14ac:dyDescent="0.2">
      <c r="N259" s="1607"/>
      <c r="Q259" s="684"/>
      <c r="R259" s="1534"/>
      <c r="T259" s="1588"/>
      <c r="U259" s="1588"/>
      <c r="V259" s="1535"/>
      <c r="W259" s="1535"/>
      <c r="X259" s="1535"/>
      <c r="Y259" s="1835"/>
      <c r="Z259" s="1535"/>
      <c r="AA259" s="1535"/>
      <c r="AZ259" s="1893"/>
      <c r="BE259" s="1588"/>
      <c r="BF259" s="21"/>
      <c r="BG259" s="21"/>
      <c r="BH259" s="1536"/>
      <c r="BI259" s="1536"/>
      <c r="BJ259" s="436"/>
    </row>
    <row r="260" spans="14:62" s="20" customFormat="1" x14ac:dyDescent="0.2">
      <c r="N260" s="1607"/>
      <c r="Q260" s="684"/>
      <c r="R260" s="1534"/>
      <c r="T260" s="1588"/>
      <c r="U260" s="1588"/>
      <c r="V260" s="1535"/>
      <c r="W260" s="1535"/>
      <c r="X260" s="1535"/>
      <c r="Y260" s="1835"/>
      <c r="Z260" s="1535"/>
      <c r="AA260" s="1535"/>
      <c r="AZ260" s="1893"/>
      <c r="BE260" s="1588"/>
      <c r="BF260" s="21"/>
      <c r="BG260" s="21"/>
      <c r="BH260" s="1536"/>
      <c r="BI260" s="1536"/>
      <c r="BJ260" s="436"/>
    </row>
    <row r="261" spans="14:62" s="20" customFormat="1" x14ac:dyDescent="0.2">
      <c r="N261" s="1607"/>
      <c r="Q261" s="684"/>
      <c r="R261" s="1534"/>
      <c r="T261" s="1588"/>
      <c r="U261" s="1588"/>
      <c r="V261" s="1535"/>
      <c r="W261" s="1535"/>
      <c r="X261" s="1535"/>
      <c r="Y261" s="1835"/>
      <c r="Z261" s="1535"/>
      <c r="AA261" s="1535"/>
      <c r="AZ261" s="1893"/>
      <c r="BE261" s="1588"/>
      <c r="BF261" s="21"/>
      <c r="BG261" s="21"/>
      <c r="BH261" s="1536"/>
      <c r="BI261" s="1536"/>
      <c r="BJ261" s="436"/>
    </row>
    <row r="262" spans="14:62" s="20" customFormat="1" x14ac:dyDescent="0.2">
      <c r="N262" s="1607"/>
      <c r="Q262" s="684"/>
      <c r="R262" s="1534"/>
      <c r="T262" s="1588"/>
      <c r="U262" s="1588"/>
      <c r="V262" s="1535"/>
      <c r="W262" s="1535"/>
      <c r="X262" s="1535"/>
      <c r="Y262" s="1835"/>
      <c r="Z262" s="1535"/>
      <c r="AA262" s="1535"/>
      <c r="AZ262" s="1893"/>
      <c r="BE262" s="1588"/>
      <c r="BF262" s="21"/>
      <c r="BG262" s="21"/>
      <c r="BH262" s="1536"/>
      <c r="BI262" s="1536"/>
      <c r="BJ262" s="436"/>
    </row>
    <row r="263" spans="14:62" s="20" customFormat="1" x14ac:dyDescent="0.2">
      <c r="N263" s="1607"/>
      <c r="Q263" s="684"/>
      <c r="R263" s="1534"/>
      <c r="T263" s="1588"/>
      <c r="U263" s="1588"/>
      <c r="V263" s="1535"/>
      <c r="W263" s="1535"/>
      <c r="X263" s="1535"/>
      <c r="Y263" s="1835"/>
      <c r="Z263" s="1535"/>
      <c r="AA263" s="1535"/>
      <c r="AZ263" s="1893"/>
      <c r="BE263" s="1588"/>
      <c r="BF263" s="21"/>
      <c r="BG263" s="21"/>
      <c r="BH263" s="1536"/>
      <c r="BI263" s="1536"/>
      <c r="BJ263" s="436"/>
    </row>
    <row r="264" spans="14:62" s="20" customFormat="1" x14ac:dyDescent="0.2">
      <c r="N264" s="1607"/>
      <c r="Q264" s="684"/>
      <c r="R264" s="1534"/>
      <c r="T264" s="1588"/>
      <c r="U264" s="1588"/>
      <c r="V264" s="1535"/>
      <c r="W264" s="1535"/>
      <c r="X264" s="1535"/>
      <c r="Y264" s="1835"/>
      <c r="Z264" s="1535"/>
      <c r="AA264" s="1535"/>
      <c r="AZ264" s="1893"/>
      <c r="BE264" s="1588"/>
      <c r="BF264" s="21"/>
      <c r="BG264" s="21"/>
      <c r="BH264" s="1536"/>
      <c r="BI264" s="1536"/>
      <c r="BJ264" s="436"/>
    </row>
    <row r="265" spans="14:62" s="20" customFormat="1" x14ac:dyDescent="0.2">
      <c r="N265" s="1607"/>
      <c r="Q265" s="684"/>
      <c r="R265" s="1534"/>
      <c r="T265" s="1588"/>
      <c r="U265" s="1588"/>
      <c r="V265" s="1535"/>
      <c r="W265" s="1535"/>
      <c r="X265" s="1535"/>
      <c r="Y265" s="1835"/>
      <c r="Z265" s="1535"/>
      <c r="AA265" s="1535"/>
      <c r="AZ265" s="1893"/>
      <c r="BE265" s="1588"/>
      <c r="BF265" s="21"/>
      <c r="BG265" s="21"/>
      <c r="BH265" s="1536"/>
      <c r="BI265" s="1536"/>
      <c r="BJ265" s="436"/>
    </row>
    <row r="266" spans="14:62" s="20" customFormat="1" x14ac:dyDescent="0.2">
      <c r="N266" s="1607"/>
      <c r="Q266" s="684"/>
      <c r="R266" s="1534"/>
      <c r="T266" s="1588"/>
      <c r="U266" s="1588"/>
      <c r="V266" s="1535"/>
      <c r="W266" s="1535"/>
      <c r="X266" s="1535"/>
      <c r="Y266" s="1835"/>
      <c r="Z266" s="1535"/>
      <c r="AA266" s="1535"/>
      <c r="AZ266" s="1893"/>
      <c r="BE266" s="1588"/>
      <c r="BF266" s="21"/>
      <c r="BG266" s="21"/>
      <c r="BH266" s="1536"/>
      <c r="BI266" s="1536"/>
      <c r="BJ266" s="436"/>
    </row>
    <row r="267" spans="14:62" s="20" customFormat="1" x14ac:dyDescent="0.2">
      <c r="N267" s="1607"/>
      <c r="Q267" s="684"/>
      <c r="R267" s="1534"/>
      <c r="T267" s="1588"/>
      <c r="U267" s="1588"/>
      <c r="V267" s="1535"/>
      <c r="W267" s="1535"/>
      <c r="X267" s="1535"/>
      <c r="Y267" s="1835"/>
      <c r="Z267" s="1535"/>
      <c r="AA267" s="1535"/>
      <c r="AZ267" s="1893"/>
      <c r="BE267" s="1588"/>
      <c r="BF267" s="21"/>
      <c r="BG267" s="21"/>
      <c r="BH267" s="1536"/>
      <c r="BI267" s="1536"/>
      <c r="BJ267" s="436"/>
    </row>
    <row r="268" spans="14:62" s="20" customFormat="1" x14ac:dyDescent="0.2">
      <c r="N268" s="1607"/>
      <c r="Q268" s="684"/>
      <c r="R268" s="1534"/>
      <c r="T268" s="1588"/>
      <c r="U268" s="1588"/>
      <c r="V268" s="1535"/>
      <c r="W268" s="1535"/>
      <c r="X268" s="1535"/>
      <c r="Y268" s="1835"/>
      <c r="Z268" s="1535"/>
      <c r="AA268" s="1535"/>
      <c r="AZ268" s="1893"/>
      <c r="BE268" s="1588"/>
      <c r="BF268" s="21"/>
      <c r="BG268" s="21"/>
      <c r="BH268" s="1536"/>
      <c r="BI268" s="1536"/>
      <c r="BJ268" s="436"/>
    </row>
    <row r="269" spans="14:62" s="20" customFormat="1" x14ac:dyDescent="0.2">
      <c r="N269" s="1607"/>
      <c r="Q269" s="684"/>
      <c r="R269" s="1534"/>
      <c r="T269" s="1588"/>
      <c r="U269" s="1588"/>
      <c r="V269" s="1535"/>
      <c r="W269" s="1535"/>
      <c r="X269" s="1535"/>
      <c r="Y269" s="1835"/>
      <c r="Z269" s="1535"/>
      <c r="AA269" s="1535"/>
      <c r="AZ269" s="1893"/>
      <c r="BE269" s="1588"/>
      <c r="BF269" s="21"/>
      <c r="BG269" s="21"/>
      <c r="BH269" s="1536"/>
      <c r="BI269" s="1536"/>
      <c r="BJ269" s="436"/>
    </row>
    <row r="270" spans="14:62" s="20" customFormat="1" x14ac:dyDescent="0.2">
      <c r="N270" s="1607"/>
      <c r="Q270" s="684"/>
      <c r="R270" s="1534"/>
      <c r="T270" s="1588"/>
      <c r="U270" s="1588"/>
      <c r="V270" s="1535"/>
      <c r="W270" s="1535"/>
      <c r="X270" s="1535"/>
      <c r="Y270" s="1835"/>
      <c r="Z270" s="1535"/>
      <c r="AA270" s="1535"/>
      <c r="AZ270" s="1893"/>
      <c r="BE270" s="1588"/>
      <c r="BF270" s="21"/>
      <c r="BG270" s="21"/>
      <c r="BH270" s="1536"/>
      <c r="BI270" s="1536"/>
      <c r="BJ270" s="436"/>
    </row>
    <row r="271" spans="14:62" s="20" customFormat="1" x14ac:dyDescent="0.2">
      <c r="N271" s="1607"/>
      <c r="Q271" s="684"/>
      <c r="R271" s="1534"/>
      <c r="T271" s="1588"/>
      <c r="U271" s="1588"/>
      <c r="V271" s="1535"/>
      <c r="W271" s="1535"/>
      <c r="X271" s="1535"/>
      <c r="Y271" s="1835"/>
      <c r="Z271" s="1535"/>
      <c r="AA271" s="1535"/>
      <c r="AZ271" s="1893"/>
      <c r="BE271" s="1588"/>
      <c r="BF271" s="21"/>
      <c r="BG271" s="21"/>
      <c r="BH271" s="1536"/>
      <c r="BI271" s="1536"/>
      <c r="BJ271" s="436"/>
    </row>
    <row r="272" spans="14:62" s="20" customFormat="1" x14ac:dyDescent="0.2">
      <c r="N272" s="1607"/>
      <c r="Q272" s="684"/>
      <c r="R272" s="1534"/>
      <c r="T272" s="1588"/>
      <c r="U272" s="1588"/>
      <c r="V272" s="1535"/>
      <c r="W272" s="1535"/>
      <c r="X272" s="1535"/>
      <c r="Y272" s="1835"/>
      <c r="Z272" s="1535"/>
      <c r="AA272" s="1535"/>
      <c r="AZ272" s="1893"/>
      <c r="BE272" s="1588"/>
      <c r="BF272" s="21"/>
      <c r="BG272" s="21"/>
      <c r="BH272" s="1536"/>
      <c r="BI272" s="1536"/>
      <c r="BJ272" s="436"/>
    </row>
    <row r="273" spans="14:62" s="20" customFormat="1" x14ac:dyDescent="0.2">
      <c r="N273" s="1607"/>
      <c r="Q273" s="684"/>
      <c r="R273" s="1534"/>
      <c r="T273" s="1588"/>
      <c r="U273" s="1588"/>
      <c r="V273" s="1535"/>
      <c r="W273" s="1535"/>
      <c r="X273" s="1535"/>
      <c r="Y273" s="1835"/>
      <c r="Z273" s="1535"/>
      <c r="AA273" s="1535"/>
      <c r="AZ273" s="1893"/>
      <c r="BE273" s="1588"/>
      <c r="BF273" s="21"/>
      <c r="BG273" s="21"/>
      <c r="BH273" s="1536"/>
      <c r="BI273" s="1536"/>
      <c r="BJ273" s="436"/>
    </row>
    <row r="274" spans="14:62" s="20" customFormat="1" x14ac:dyDescent="0.2">
      <c r="N274" s="1607"/>
      <c r="Q274" s="684"/>
      <c r="R274" s="1534"/>
      <c r="T274" s="1588"/>
      <c r="U274" s="1588"/>
      <c r="V274" s="1535"/>
      <c r="W274" s="1535"/>
      <c r="X274" s="1535"/>
      <c r="Y274" s="1835"/>
      <c r="Z274" s="1535"/>
      <c r="AA274" s="1535"/>
      <c r="AZ274" s="1893"/>
      <c r="BE274" s="1588"/>
      <c r="BF274" s="21"/>
      <c r="BG274" s="21"/>
      <c r="BH274" s="1536"/>
      <c r="BI274" s="1536"/>
      <c r="BJ274" s="436"/>
    </row>
    <row r="275" spans="14:62" s="20" customFormat="1" x14ac:dyDescent="0.2">
      <c r="N275" s="1607"/>
      <c r="Q275" s="684"/>
      <c r="R275" s="1534"/>
      <c r="T275" s="1588"/>
      <c r="U275" s="1588"/>
      <c r="V275" s="1535"/>
      <c r="W275" s="1535"/>
      <c r="X275" s="1535"/>
      <c r="Y275" s="1835"/>
      <c r="Z275" s="1535"/>
      <c r="AA275" s="1535"/>
      <c r="AZ275" s="1893"/>
      <c r="BE275" s="1588"/>
      <c r="BF275" s="21"/>
      <c r="BG275" s="21"/>
      <c r="BH275" s="1536"/>
      <c r="BI275" s="1536"/>
      <c r="BJ275" s="436"/>
    </row>
    <row r="276" spans="14:62" s="20" customFormat="1" x14ac:dyDescent="0.2">
      <c r="N276" s="1607"/>
      <c r="Q276" s="684"/>
      <c r="R276" s="1534"/>
      <c r="T276" s="1588"/>
      <c r="U276" s="1588"/>
      <c r="V276" s="1535"/>
      <c r="W276" s="1535"/>
      <c r="X276" s="1535"/>
      <c r="Y276" s="1835"/>
      <c r="Z276" s="1535"/>
      <c r="AA276" s="1535"/>
      <c r="AZ276" s="1893"/>
      <c r="BE276" s="1588"/>
      <c r="BF276" s="21"/>
      <c r="BG276" s="21"/>
      <c r="BH276" s="1536"/>
      <c r="BI276" s="1536"/>
      <c r="BJ276" s="436"/>
    </row>
    <row r="277" spans="14:62" s="20" customFormat="1" x14ac:dyDescent="0.2">
      <c r="N277" s="1607"/>
      <c r="Q277" s="684"/>
      <c r="R277" s="1534"/>
      <c r="T277" s="1588"/>
      <c r="U277" s="1588"/>
      <c r="V277" s="1535"/>
      <c r="W277" s="1535"/>
      <c r="X277" s="1535"/>
      <c r="Y277" s="1835"/>
      <c r="Z277" s="1535"/>
      <c r="AA277" s="1535"/>
      <c r="AZ277" s="1893"/>
      <c r="BE277" s="1588"/>
      <c r="BF277" s="21"/>
      <c r="BG277" s="21"/>
      <c r="BH277" s="1536"/>
      <c r="BI277" s="1536"/>
      <c r="BJ277" s="436"/>
    </row>
    <row r="278" spans="14:62" s="20" customFormat="1" x14ac:dyDescent="0.2">
      <c r="N278" s="1607"/>
      <c r="Q278" s="684"/>
      <c r="R278" s="1534"/>
      <c r="T278" s="1588"/>
      <c r="U278" s="1588"/>
      <c r="V278" s="1535"/>
      <c r="W278" s="1535"/>
      <c r="X278" s="1535"/>
      <c r="Y278" s="1835"/>
      <c r="Z278" s="1535"/>
      <c r="AA278" s="1535"/>
      <c r="AZ278" s="1893"/>
      <c r="BE278" s="1588"/>
      <c r="BF278" s="21"/>
      <c r="BG278" s="21"/>
      <c r="BH278" s="1536"/>
      <c r="BI278" s="1536"/>
      <c r="BJ278" s="436"/>
    </row>
    <row r="279" spans="14:62" s="20" customFormat="1" x14ac:dyDescent="0.2">
      <c r="N279" s="1607"/>
      <c r="Q279" s="684"/>
      <c r="R279" s="1534"/>
      <c r="T279" s="1588"/>
      <c r="U279" s="1588"/>
      <c r="V279" s="1535"/>
      <c r="W279" s="1535"/>
      <c r="X279" s="1535"/>
      <c r="Y279" s="1835"/>
      <c r="Z279" s="1535"/>
      <c r="AA279" s="1535"/>
      <c r="AZ279" s="1893"/>
      <c r="BE279" s="1588"/>
      <c r="BF279" s="21"/>
      <c r="BG279" s="21"/>
      <c r="BH279" s="1536"/>
      <c r="BI279" s="1536"/>
      <c r="BJ279" s="436"/>
    </row>
    <row r="280" spans="14:62" s="20" customFormat="1" x14ac:dyDescent="0.2">
      <c r="N280" s="1607"/>
      <c r="Q280" s="684"/>
      <c r="R280" s="1534"/>
      <c r="T280" s="1588"/>
      <c r="U280" s="1588"/>
      <c r="V280" s="1535"/>
      <c r="W280" s="1535"/>
      <c r="X280" s="1535"/>
      <c r="Y280" s="1835"/>
      <c r="Z280" s="1535"/>
      <c r="AA280" s="1535"/>
      <c r="AZ280" s="1893"/>
      <c r="BE280" s="1588"/>
      <c r="BF280" s="21"/>
      <c r="BG280" s="21"/>
      <c r="BH280" s="1536"/>
      <c r="BI280" s="1536"/>
      <c r="BJ280" s="436"/>
    </row>
    <row r="281" spans="14:62" s="20" customFormat="1" x14ac:dyDescent="0.2">
      <c r="N281" s="1607"/>
      <c r="Q281" s="684"/>
      <c r="R281" s="1534"/>
      <c r="T281" s="1588"/>
      <c r="U281" s="1588"/>
      <c r="V281" s="1535"/>
      <c r="W281" s="1535"/>
      <c r="X281" s="1535"/>
      <c r="Y281" s="1835"/>
      <c r="Z281" s="1535"/>
      <c r="AA281" s="1535"/>
      <c r="AZ281" s="1893"/>
      <c r="BE281" s="1588"/>
      <c r="BF281" s="21"/>
      <c r="BG281" s="21"/>
      <c r="BH281" s="1536"/>
      <c r="BI281" s="1536"/>
      <c r="BJ281" s="436"/>
    </row>
    <row r="282" spans="14:62" s="20" customFormat="1" x14ac:dyDescent="0.2">
      <c r="N282" s="1607"/>
      <c r="Q282" s="684"/>
      <c r="R282" s="1534"/>
      <c r="T282" s="1588"/>
      <c r="U282" s="1588"/>
      <c r="V282" s="1535"/>
      <c r="W282" s="1535"/>
      <c r="X282" s="1535"/>
      <c r="Y282" s="1835"/>
      <c r="Z282" s="1535"/>
      <c r="AA282" s="1535"/>
      <c r="AZ282" s="1893"/>
      <c r="BE282" s="1588"/>
      <c r="BF282" s="21"/>
      <c r="BG282" s="21"/>
      <c r="BH282" s="1536"/>
      <c r="BI282" s="1536"/>
      <c r="BJ282" s="436"/>
    </row>
    <row r="283" spans="14:62" s="20" customFormat="1" x14ac:dyDescent="0.2">
      <c r="N283" s="1607"/>
      <c r="Q283" s="684"/>
      <c r="R283" s="1534"/>
      <c r="T283" s="1588"/>
      <c r="U283" s="1588"/>
      <c r="V283" s="1535"/>
      <c r="W283" s="1535"/>
      <c r="X283" s="1535"/>
      <c r="Y283" s="1835"/>
      <c r="Z283" s="1535"/>
      <c r="AA283" s="1535"/>
      <c r="AZ283" s="1893"/>
      <c r="BE283" s="1588"/>
      <c r="BF283" s="21"/>
      <c r="BG283" s="21"/>
      <c r="BH283" s="1536"/>
      <c r="BI283" s="1536"/>
      <c r="BJ283" s="436"/>
    </row>
    <row r="284" spans="14:62" s="20" customFormat="1" x14ac:dyDescent="0.2">
      <c r="N284" s="1607"/>
      <c r="Q284" s="684"/>
      <c r="R284" s="1534"/>
      <c r="T284" s="1588"/>
      <c r="U284" s="1588"/>
      <c r="V284" s="1535"/>
      <c r="W284" s="1535"/>
      <c r="X284" s="1535"/>
      <c r="Y284" s="1835"/>
      <c r="Z284" s="1535"/>
      <c r="AA284" s="1535"/>
      <c r="AZ284" s="1893"/>
      <c r="BE284" s="1588"/>
      <c r="BF284" s="21"/>
      <c r="BG284" s="21"/>
      <c r="BH284" s="1536"/>
      <c r="BI284" s="1536"/>
      <c r="BJ284" s="436"/>
    </row>
    <row r="285" spans="14:62" s="20" customFormat="1" x14ac:dyDescent="0.2">
      <c r="N285" s="1607"/>
      <c r="Q285" s="684"/>
      <c r="R285" s="1534"/>
      <c r="T285" s="1588"/>
      <c r="U285" s="1588"/>
      <c r="V285" s="1535"/>
      <c r="W285" s="1535"/>
      <c r="X285" s="1535"/>
      <c r="Y285" s="1835"/>
      <c r="Z285" s="1535"/>
      <c r="AA285" s="1535"/>
      <c r="AZ285" s="1893"/>
      <c r="BE285" s="1588"/>
      <c r="BF285" s="21"/>
      <c r="BG285" s="21"/>
      <c r="BH285" s="1536"/>
      <c r="BI285" s="1536"/>
      <c r="BJ285" s="436"/>
    </row>
    <row r="286" spans="14:62" s="20" customFormat="1" x14ac:dyDescent="0.2">
      <c r="N286" s="1607"/>
      <c r="Q286" s="684"/>
      <c r="R286" s="1534"/>
      <c r="T286" s="1588"/>
      <c r="U286" s="1588"/>
      <c r="V286" s="1535"/>
      <c r="W286" s="1535"/>
      <c r="X286" s="1535"/>
      <c r="Y286" s="1835"/>
      <c r="Z286" s="1535"/>
      <c r="AA286" s="1535"/>
      <c r="AZ286" s="1893"/>
      <c r="BE286" s="1588"/>
      <c r="BF286" s="21"/>
      <c r="BG286" s="21"/>
      <c r="BH286" s="1536"/>
      <c r="BI286" s="1536"/>
      <c r="BJ286" s="436"/>
    </row>
    <row r="287" spans="14:62" s="20" customFormat="1" x14ac:dyDescent="0.2">
      <c r="N287" s="1607"/>
      <c r="Q287" s="684"/>
      <c r="R287" s="1534"/>
      <c r="T287" s="1588"/>
      <c r="U287" s="1588"/>
      <c r="V287" s="1535"/>
      <c r="W287" s="1535"/>
      <c r="X287" s="1535"/>
      <c r="Y287" s="1835"/>
      <c r="Z287" s="1535"/>
      <c r="AA287" s="1535"/>
      <c r="AZ287" s="1893"/>
      <c r="BE287" s="1588"/>
      <c r="BF287" s="21"/>
      <c r="BG287" s="21"/>
      <c r="BH287" s="1536"/>
      <c r="BI287" s="1536"/>
      <c r="BJ287" s="436"/>
    </row>
    <row r="288" spans="14:62" s="20" customFormat="1" x14ac:dyDescent="0.2">
      <c r="N288" s="1607"/>
      <c r="Q288" s="684"/>
      <c r="R288" s="1534"/>
      <c r="T288" s="1588"/>
      <c r="U288" s="1588"/>
      <c r="V288" s="1535"/>
      <c r="W288" s="1535"/>
      <c r="X288" s="1535"/>
      <c r="Y288" s="1835"/>
      <c r="Z288" s="1535"/>
      <c r="AA288" s="1535"/>
      <c r="AZ288" s="1893"/>
      <c r="BE288" s="1588"/>
      <c r="BF288" s="21"/>
      <c r="BG288" s="21"/>
      <c r="BH288" s="1536"/>
      <c r="BI288" s="1536"/>
      <c r="BJ288" s="436"/>
    </row>
    <row r="289" spans="14:62" s="20" customFormat="1" x14ac:dyDescent="0.2">
      <c r="N289" s="1607"/>
      <c r="Q289" s="684"/>
      <c r="R289" s="1534"/>
      <c r="T289" s="1588"/>
      <c r="U289" s="1588"/>
      <c r="V289" s="1535"/>
      <c r="W289" s="1535"/>
      <c r="X289" s="1535"/>
      <c r="Y289" s="1835"/>
      <c r="Z289" s="1535"/>
      <c r="AA289" s="1535"/>
      <c r="AZ289" s="1893"/>
      <c r="BE289" s="1588"/>
      <c r="BF289" s="21"/>
      <c r="BG289" s="21"/>
      <c r="BH289" s="1536"/>
      <c r="BI289" s="1536"/>
      <c r="BJ289" s="436"/>
    </row>
    <row r="290" spans="14:62" s="20" customFormat="1" x14ac:dyDescent="0.2">
      <c r="N290" s="1607"/>
      <c r="Q290" s="684"/>
      <c r="R290" s="1534"/>
      <c r="T290" s="1588"/>
      <c r="U290" s="1588"/>
      <c r="V290" s="1535"/>
      <c r="W290" s="1535"/>
      <c r="X290" s="1535"/>
      <c r="Y290" s="1835"/>
      <c r="Z290" s="1535"/>
      <c r="AA290" s="1535"/>
      <c r="AZ290" s="1893"/>
      <c r="BE290" s="1588"/>
      <c r="BF290" s="21"/>
      <c r="BG290" s="21"/>
      <c r="BH290" s="1536"/>
      <c r="BI290" s="1536"/>
      <c r="BJ290" s="436"/>
    </row>
    <row r="291" spans="14:62" s="20" customFormat="1" x14ac:dyDescent="0.2">
      <c r="N291" s="1607"/>
      <c r="Q291" s="684"/>
      <c r="R291" s="1534"/>
      <c r="T291" s="1588"/>
      <c r="U291" s="1588"/>
      <c r="V291" s="1535"/>
      <c r="W291" s="1535"/>
      <c r="X291" s="1535"/>
      <c r="Y291" s="1835"/>
      <c r="Z291" s="1535"/>
      <c r="AA291" s="1535"/>
      <c r="AZ291" s="1893"/>
      <c r="BE291" s="1588"/>
      <c r="BF291" s="21"/>
      <c r="BG291" s="21"/>
      <c r="BH291" s="1536"/>
      <c r="BI291" s="1536"/>
      <c r="BJ291" s="436"/>
    </row>
    <row r="292" spans="14:62" s="20" customFormat="1" x14ac:dyDescent="0.2">
      <c r="N292" s="1607"/>
      <c r="Q292" s="684"/>
      <c r="R292" s="1534"/>
      <c r="T292" s="1588"/>
      <c r="U292" s="1588"/>
      <c r="V292" s="1535"/>
      <c r="W292" s="1535"/>
      <c r="X292" s="1535"/>
      <c r="Y292" s="1835"/>
      <c r="Z292" s="1535"/>
      <c r="AA292" s="1535"/>
      <c r="AZ292" s="1893"/>
      <c r="BE292" s="1588"/>
      <c r="BF292" s="21"/>
      <c r="BG292" s="21"/>
      <c r="BH292" s="1536"/>
      <c r="BI292" s="1536"/>
      <c r="BJ292" s="436"/>
    </row>
    <row r="293" spans="14:62" s="20" customFormat="1" x14ac:dyDescent="0.2">
      <c r="N293" s="1607"/>
      <c r="Q293" s="684"/>
      <c r="R293" s="1534"/>
      <c r="T293" s="1588"/>
      <c r="U293" s="1588"/>
      <c r="V293" s="1535"/>
      <c r="W293" s="1535"/>
      <c r="X293" s="1535"/>
      <c r="Y293" s="1835"/>
      <c r="Z293" s="1535"/>
      <c r="AA293" s="1535"/>
      <c r="AZ293" s="1893"/>
      <c r="BE293" s="1588"/>
      <c r="BF293" s="21"/>
      <c r="BG293" s="21"/>
      <c r="BH293" s="1536"/>
      <c r="BI293" s="1536"/>
      <c r="BJ293" s="436"/>
    </row>
    <row r="294" spans="14:62" s="20" customFormat="1" x14ac:dyDescent="0.2">
      <c r="N294" s="1607"/>
      <c r="Q294" s="684"/>
      <c r="R294" s="1534"/>
      <c r="T294" s="1588"/>
      <c r="U294" s="1588"/>
      <c r="V294" s="1535"/>
      <c r="W294" s="1535"/>
      <c r="X294" s="1535"/>
      <c r="Y294" s="1835"/>
      <c r="Z294" s="1535"/>
      <c r="AA294" s="1535"/>
      <c r="AZ294" s="1893"/>
      <c r="BE294" s="1588"/>
      <c r="BF294" s="21"/>
      <c r="BG294" s="21"/>
      <c r="BH294" s="1536"/>
      <c r="BI294" s="1536"/>
      <c r="BJ294" s="436"/>
    </row>
    <row r="295" spans="14:62" s="20" customFormat="1" x14ac:dyDescent="0.2">
      <c r="N295" s="1607"/>
      <c r="Q295" s="684"/>
      <c r="R295" s="1534"/>
      <c r="T295" s="1588"/>
      <c r="U295" s="1588"/>
      <c r="V295" s="1535"/>
      <c r="W295" s="1535"/>
      <c r="X295" s="1535"/>
      <c r="Y295" s="1835"/>
      <c r="Z295" s="1535"/>
      <c r="AA295" s="1535"/>
      <c r="AZ295" s="1893"/>
      <c r="BE295" s="1588"/>
      <c r="BF295" s="21"/>
      <c r="BG295" s="21"/>
      <c r="BH295" s="1536"/>
      <c r="BI295" s="1536"/>
      <c r="BJ295" s="436"/>
    </row>
    <row r="296" spans="14:62" s="20" customFormat="1" x14ac:dyDescent="0.2">
      <c r="N296" s="1607"/>
      <c r="Q296" s="684"/>
      <c r="R296" s="1534"/>
      <c r="T296" s="1588"/>
      <c r="U296" s="1588"/>
      <c r="V296" s="1535"/>
      <c r="W296" s="1535"/>
      <c r="X296" s="1535"/>
      <c r="Y296" s="1835"/>
      <c r="Z296" s="1535"/>
      <c r="AA296" s="1535"/>
      <c r="AZ296" s="1893"/>
      <c r="BE296" s="1588"/>
      <c r="BF296" s="21"/>
      <c r="BG296" s="21"/>
      <c r="BH296" s="1536"/>
      <c r="BI296" s="1536"/>
      <c r="BJ296" s="436"/>
    </row>
    <row r="297" spans="14:62" s="20" customFormat="1" x14ac:dyDescent="0.2">
      <c r="N297" s="1607"/>
      <c r="Q297" s="684"/>
      <c r="R297" s="1534"/>
      <c r="T297" s="1588"/>
      <c r="U297" s="1588"/>
      <c r="V297" s="1535"/>
      <c r="W297" s="1535"/>
      <c r="X297" s="1535"/>
      <c r="Y297" s="1835"/>
      <c r="Z297" s="1535"/>
      <c r="AA297" s="1535"/>
      <c r="AZ297" s="1893"/>
      <c r="BE297" s="1588"/>
      <c r="BF297" s="21"/>
      <c r="BG297" s="21"/>
      <c r="BH297" s="1536"/>
      <c r="BI297" s="1536"/>
      <c r="BJ297" s="436"/>
    </row>
    <row r="298" spans="14:62" s="20" customFormat="1" x14ac:dyDescent="0.2">
      <c r="N298" s="1607"/>
      <c r="Q298" s="684"/>
      <c r="R298" s="1534"/>
      <c r="T298" s="1588"/>
      <c r="U298" s="1588"/>
      <c r="V298" s="1535"/>
      <c r="W298" s="1535"/>
      <c r="X298" s="1535"/>
      <c r="Y298" s="1835"/>
      <c r="Z298" s="1535"/>
      <c r="AA298" s="1535"/>
      <c r="AZ298" s="1893"/>
      <c r="BE298" s="1588"/>
      <c r="BF298" s="21"/>
      <c r="BG298" s="21"/>
      <c r="BH298" s="1536"/>
      <c r="BI298" s="1536"/>
      <c r="BJ298" s="436"/>
    </row>
    <row r="299" spans="14:62" s="20" customFormat="1" x14ac:dyDescent="0.2">
      <c r="N299" s="1607"/>
      <c r="Q299" s="684"/>
      <c r="R299" s="1534"/>
      <c r="T299" s="1588"/>
      <c r="U299" s="1588"/>
      <c r="V299" s="1535"/>
      <c r="W299" s="1535"/>
      <c r="X299" s="1535"/>
      <c r="Y299" s="1835"/>
      <c r="Z299" s="1535"/>
      <c r="AA299" s="1535"/>
      <c r="AZ299" s="1893"/>
      <c r="BE299" s="1588"/>
      <c r="BF299" s="21"/>
      <c r="BG299" s="21"/>
      <c r="BH299" s="1536"/>
      <c r="BI299" s="1536"/>
      <c r="BJ299" s="436"/>
    </row>
    <row r="300" spans="14:62" s="20" customFormat="1" x14ac:dyDescent="0.2">
      <c r="N300" s="1607"/>
      <c r="Q300" s="684"/>
      <c r="R300" s="1534"/>
      <c r="T300" s="1588"/>
      <c r="U300" s="1588"/>
      <c r="V300" s="1535"/>
      <c r="W300" s="1535"/>
      <c r="X300" s="1535"/>
      <c r="Y300" s="1835"/>
      <c r="Z300" s="1535"/>
      <c r="AA300" s="1535"/>
      <c r="AZ300" s="1893"/>
      <c r="BE300" s="1588"/>
      <c r="BF300" s="21"/>
      <c r="BG300" s="21"/>
      <c r="BH300" s="1536"/>
      <c r="BI300" s="1536"/>
      <c r="BJ300" s="436"/>
    </row>
    <row r="301" spans="14:62" s="20" customFormat="1" x14ac:dyDescent="0.2">
      <c r="N301" s="1607"/>
      <c r="Q301" s="684"/>
      <c r="R301" s="1534"/>
      <c r="T301" s="1588"/>
      <c r="U301" s="1588"/>
      <c r="V301" s="1535"/>
      <c r="W301" s="1535"/>
      <c r="X301" s="1535"/>
      <c r="Y301" s="1835"/>
      <c r="Z301" s="1535"/>
      <c r="AA301" s="1535"/>
      <c r="AZ301" s="1893"/>
      <c r="BE301" s="1588"/>
      <c r="BF301" s="21"/>
      <c r="BG301" s="21"/>
      <c r="BH301" s="1536"/>
      <c r="BI301" s="1536"/>
      <c r="BJ301" s="436"/>
    </row>
    <row r="302" spans="14:62" s="20" customFormat="1" x14ac:dyDescent="0.2">
      <c r="N302" s="1607"/>
      <c r="Q302" s="684"/>
      <c r="R302" s="1534"/>
      <c r="T302" s="1588"/>
      <c r="U302" s="1588"/>
      <c r="V302" s="1535"/>
      <c r="W302" s="1535"/>
      <c r="X302" s="1535"/>
      <c r="Y302" s="1835"/>
      <c r="Z302" s="1535"/>
      <c r="AA302" s="1535"/>
      <c r="AZ302" s="1893"/>
      <c r="BE302" s="1588"/>
      <c r="BF302" s="21"/>
      <c r="BG302" s="21"/>
      <c r="BH302" s="1536"/>
      <c r="BI302" s="1536"/>
      <c r="BJ302" s="436"/>
    </row>
    <row r="303" spans="14:62" s="20" customFormat="1" x14ac:dyDescent="0.2">
      <c r="N303" s="1607"/>
      <c r="Q303" s="684"/>
      <c r="R303" s="1534"/>
      <c r="T303" s="1588"/>
      <c r="U303" s="1588"/>
      <c r="V303" s="1535"/>
      <c r="W303" s="1535"/>
      <c r="X303" s="1535"/>
      <c r="Y303" s="1835"/>
      <c r="Z303" s="1535"/>
      <c r="AA303" s="1535"/>
      <c r="AZ303" s="1893"/>
      <c r="BE303" s="1588"/>
      <c r="BF303" s="21"/>
      <c r="BG303" s="21"/>
      <c r="BH303" s="1536"/>
      <c r="BI303" s="1536"/>
      <c r="BJ303" s="436"/>
    </row>
    <row r="304" spans="14:62" s="20" customFormat="1" x14ac:dyDescent="0.2">
      <c r="N304" s="1607"/>
      <c r="Q304" s="684"/>
      <c r="R304" s="1534"/>
      <c r="T304" s="1588"/>
      <c r="U304" s="1588"/>
      <c r="V304" s="1535"/>
      <c r="W304" s="1535"/>
      <c r="X304" s="1535"/>
      <c r="Y304" s="1835"/>
      <c r="Z304" s="1535"/>
      <c r="AA304" s="1535"/>
      <c r="AZ304" s="1893"/>
      <c r="BE304" s="1588"/>
      <c r="BF304" s="21"/>
      <c r="BG304" s="21"/>
      <c r="BH304" s="1536"/>
      <c r="BI304" s="1536"/>
      <c r="BJ304" s="436"/>
    </row>
    <row r="305" spans="14:62" s="20" customFormat="1" x14ac:dyDescent="0.2">
      <c r="N305" s="1607"/>
      <c r="Q305" s="684"/>
      <c r="R305" s="1534"/>
      <c r="T305" s="1588"/>
      <c r="U305" s="1588"/>
      <c r="V305" s="1535"/>
      <c r="W305" s="1535"/>
      <c r="X305" s="1535"/>
      <c r="Y305" s="1835"/>
      <c r="Z305" s="1535"/>
      <c r="AA305" s="1535"/>
      <c r="AZ305" s="1893"/>
      <c r="BE305" s="1588"/>
      <c r="BF305" s="21"/>
      <c r="BG305" s="21"/>
      <c r="BH305" s="1536"/>
      <c r="BI305" s="1536"/>
      <c r="BJ305" s="436"/>
    </row>
    <row r="306" spans="14:62" s="20" customFormat="1" x14ac:dyDescent="0.2">
      <c r="N306" s="1607"/>
      <c r="Q306" s="684"/>
      <c r="R306" s="1534"/>
      <c r="T306" s="1588"/>
      <c r="U306" s="1588"/>
      <c r="V306" s="1535"/>
      <c r="W306" s="1535"/>
      <c r="X306" s="1535"/>
      <c r="Y306" s="1835"/>
      <c r="Z306" s="1535"/>
      <c r="AA306" s="1535"/>
      <c r="AZ306" s="1893"/>
      <c r="BE306" s="1588"/>
      <c r="BF306" s="21"/>
      <c r="BG306" s="21"/>
      <c r="BH306" s="1536"/>
      <c r="BI306" s="1536"/>
      <c r="BJ306" s="436"/>
    </row>
    <row r="307" spans="14:62" s="20" customFormat="1" x14ac:dyDescent="0.2">
      <c r="N307" s="1607"/>
      <c r="Q307" s="684"/>
      <c r="R307" s="1534"/>
      <c r="T307" s="1588"/>
      <c r="U307" s="1588"/>
      <c r="V307" s="1535"/>
      <c r="W307" s="1535"/>
      <c r="X307" s="1535"/>
      <c r="Y307" s="1835"/>
      <c r="Z307" s="1535"/>
      <c r="AA307" s="1535"/>
      <c r="AZ307" s="1893"/>
      <c r="BE307" s="1588"/>
      <c r="BF307" s="21"/>
      <c r="BG307" s="21"/>
      <c r="BH307" s="1536"/>
      <c r="BI307" s="1536"/>
      <c r="BJ307" s="436"/>
    </row>
    <row r="308" spans="14:62" s="20" customFormat="1" x14ac:dyDescent="0.2">
      <c r="N308" s="1607"/>
      <c r="Q308" s="684"/>
      <c r="R308" s="1534"/>
      <c r="T308" s="1588"/>
      <c r="U308" s="1588"/>
      <c r="V308" s="1535"/>
      <c r="W308" s="1535"/>
      <c r="X308" s="1535"/>
      <c r="Y308" s="1835"/>
      <c r="Z308" s="1535"/>
      <c r="AA308" s="1535"/>
      <c r="AZ308" s="1893"/>
      <c r="BE308" s="1588"/>
      <c r="BF308" s="21"/>
      <c r="BG308" s="21"/>
      <c r="BH308" s="1536"/>
      <c r="BI308" s="1536"/>
      <c r="BJ308" s="436"/>
    </row>
    <row r="309" spans="14:62" s="20" customFormat="1" x14ac:dyDescent="0.2">
      <c r="N309" s="1607"/>
      <c r="Q309" s="684"/>
      <c r="R309" s="1534"/>
      <c r="T309" s="1588"/>
      <c r="U309" s="1588"/>
      <c r="V309" s="1535"/>
      <c r="W309" s="1535"/>
      <c r="X309" s="1535"/>
      <c r="Y309" s="1835"/>
      <c r="Z309" s="1535"/>
      <c r="AA309" s="1535"/>
      <c r="AZ309" s="1893"/>
      <c r="BE309" s="1588"/>
      <c r="BF309" s="21"/>
      <c r="BG309" s="21"/>
      <c r="BH309" s="1536"/>
      <c r="BI309" s="1536"/>
      <c r="BJ309" s="436"/>
    </row>
    <row r="310" spans="14:62" s="20" customFormat="1" x14ac:dyDescent="0.2">
      <c r="N310" s="1607"/>
      <c r="Q310" s="684"/>
      <c r="R310" s="1534"/>
      <c r="T310" s="1588"/>
      <c r="U310" s="1588"/>
      <c r="V310" s="1535"/>
      <c r="W310" s="1535"/>
      <c r="X310" s="1535"/>
      <c r="Y310" s="1835"/>
      <c r="Z310" s="1535"/>
      <c r="AA310" s="1535"/>
      <c r="AZ310" s="1893"/>
      <c r="BE310" s="1588"/>
      <c r="BF310" s="21"/>
      <c r="BG310" s="21"/>
      <c r="BH310" s="1536"/>
      <c r="BI310" s="1536"/>
      <c r="BJ310" s="436"/>
    </row>
    <row r="311" spans="14:62" s="20" customFormat="1" x14ac:dyDescent="0.2">
      <c r="N311" s="1607"/>
      <c r="Q311" s="684"/>
      <c r="R311" s="1534"/>
      <c r="T311" s="1588"/>
      <c r="U311" s="1588"/>
      <c r="V311" s="1535"/>
      <c r="W311" s="1535"/>
      <c r="X311" s="1535"/>
      <c r="Y311" s="1835"/>
      <c r="Z311" s="1535"/>
      <c r="AA311" s="1535"/>
      <c r="AZ311" s="1893"/>
      <c r="BE311" s="1588"/>
      <c r="BF311" s="21"/>
      <c r="BG311" s="21"/>
      <c r="BH311" s="1536"/>
      <c r="BI311" s="1536"/>
      <c r="BJ311" s="436"/>
    </row>
    <row r="312" spans="14:62" s="20" customFormat="1" x14ac:dyDescent="0.2">
      <c r="N312" s="1607"/>
      <c r="Q312" s="684"/>
      <c r="R312" s="1534"/>
      <c r="T312" s="1588"/>
      <c r="U312" s="1588"/>
      <c r="V312" s="1535"/>
      <c r="W312" s="1535"/>
      <c r="X312" s="1535"/>
      <c r="Y312" s="1835"/>
      <c r="Z312" s="1535"/>
      <c r="AA312" s="1535"/>
      <c r="AZ312" s="1893"/>
      <c r="BE312" s="1588"/>
      <c r="BF312" s="21"/>
      <c r="BG312" s="21"/>
      <c r="BH312" s="1536"/>
      <c r="BI312" s="1536"/>
      <c r="BJ312" s="436"/>
    </row>
    <row r="313" spans="14:62" s="20" customFormat="1" x14ac:dyDescent="0.2">
      <c r="N313" s="1607"/>
      <c r="Q313" s="684"/>
      <c r="R313" s="1534"/>
      <c r="T313" s="1588"/>
      <c r="U313" s="1588"/>
      <c r="V313" s="1535"/>
      <c r="W313" s="1535"/>
      <c r="X313" s="1535"/>
      <c r="Y313" s="1835"/>
      <c r="Z313" s="1535"/>
      <c r="AA313" s="1535"/>
      <c r="AZ313" s="1893"/>
      <c r="BE313" s="1588"/>
      <c r="BF313" s="21"/>
      <c r="BG313" s="21"/>
      <c r="BH313" s="1536"/>
      <c r="BI313" s="1536"/>
      <c r="BJ313" s="436"/>
    </row>
    <row r="314" spans="14:62" s="20" customFormat="1" x14ac:dyDescent="0.2">
      <c r="N314" s="1607"/>
      <c r="Q314" s="684"/>
      <c r="R314" s="1534"/>
      <c r="T314" s="1588"/>
      <c r="U314" s="1588"/>
      <c r="V314" s="1535"/>
      <c r="W314" s="1535"/>
      <c r="X314" s="1535"/>
      <c r="Y314" s="1835"/>
      <c r="Z314" s="1535"/>
      <c r="AA314" s="1535"/>
      <c r="AZ314" s="1893"/>
      <c r="BE314" s="1588"/>
      <c r="BF314" s="21"/>
      <c r="BG314" s="21"/>
      <c r="BH314" s="1536"/>
      <c r="BI314" s="1536"/>
      <c r="BJ314" s="436"/>
    </row>
    <row r="315" spans="14:62" s="20" customFormat="1" x14ac:dyDescent="0.2">
      <c r="N315" s="1607"/>
      <c r="Q315" s="684"/>
      <c r="R315" s="1534"/>
      <c r="T315" s="1588"/>
      <c r="U315" s="1588"/>
      <c r="V315" s="1535"/>
      <c r="W315" s="1535"/>
      <c r="X315" s="1535"/>
      <c r="Y315" s="1835"/>
      <c r="Z315" s="1535"/>
      <c r="AA315" s="1535"/>
      <c r="AZ315" s="1893"/>
      <c r="BE315" s="1588"/>
      <c r="BF315" s="21"/>
      <c r="BG315" s="21"/>
      <c r="BH315" s="1536"/>
      <c r="BI315" s="1536"/>
      <c r="BJ315" s="436"/>
    </row>
    <row r="316" spans="14:62" s="20" customFormat="1" x14ac:dyDescent="0.2">
      <c r="N316" s="1607"/>
      <c r="Q316" s="684"/>
      <c r="R316" s="1534"/>
      <c r="T316" s="1588"/>
      <c r="U316" s="1588"/>
      <c r="V316" s="1535"/>
      <c r="W316" s="1535"/>
      <c r="X316" s="1535"/>
      <c r="Y316" s="1835"/>
      <c r="Z316" s="1535"/>
      <c r="AA316" s="1535"/>
      <c r="AZ316" s="1893"/>
      <c r="BE316" s="1588"/>
      <c r="BF316" s="21"/>
      <c r="BG316" s="21"/>
      <c r="BH316" s="1536"/>
      <c r="BI316" s="1536"/>
      <c r="BJ316" s="436"/>
    </row>
    <row r="317" spans="14:62" s="20" customFormat="1" x14ac:dyDescent="0.2">
      <c r="N317" s="1607"/>
      <c r="Q317" s="684"/>
      <c r="R317" s="1534"/>
      <c r="T317" s="1588"/>
      <c r="U317" s="1588"/>
      <c r="V317" s="1535"/>
      <c r="W317" s="1535"/>
      <c r="X317" s="1535"/>
      <c r="Y317" s="1835"/>
      <c r="Z317" s="1535"/>
      <c r="AA317" s="1535"/>
      <c r="AZ317" s="1893"/>
      <c r="BE317" s="1588"/>
      <c r="BF317" s="21"/>
      <c r="BG317" s="21"/>
      <c r="BH317" s="1536"/>
      <c r="BI317" s="1536"/>
      <c r="BJ317" s="436"/>
    </row>
    <row r="318" spans="14:62" s="20" customFormat="1" x14ac:dyDescent="0.2">
      <c r="N318" s="1607"/>
      <c r="Q318" s="684"/>
      <c r="R318" s="1534"/>
      <c r="T318" s="1588"/>
      <c r="U318" s="1588"/>
      <c r="V318" s="1535"/>
      <c r="W318" s="1535"/>
      <c r="X318" s="1535"/>
      <c r="Y318" s="1835"/>
      <c r="Z318" s="1535"/>
      <c r="AA318" s="1535"/>
      <c r="AZ318" s="1893"/>
      <c r="BE318" s="1588"/>
      <c r="BF318" s="21"/>
      <c r="BG318" s="21"/>
      <c r="BH318" s="1536"/>
      <c r="BI318" s="1536"/>
      <c r="BJ318" s="436"/>
    </row>
    <row r="319" spans="14:62" s="20" customFormat="1" x14ac:dyDescent="0.2">
      <c r="N319" s="1607"/>
      <c r="Q319" s="684"/>
      <c r="R319" s="1534"/>
      <c r="T319" s="1588"/>
      <c r="U319" s="1588"/>
      <c r="V319" s="1535"/>
      <c r="W319" s="1535"/>
      <c r="X319" s="1535"/>
      <c r="Y319" s="1835"/>
      <c r="Z319" s="1535"/>
      <c r="AA319" s="1535"/>
      <c r="AZ319" s="1893"/>
      <c r="BE319" s="1588"/>
      <c r="BF319" s="21"/>
      <c r="BG319" s="21"/>
      <c r="BH319" s="1536"/>
      <c r="BI319" s="1536"/>
      <c r="BJ319" s="436"/>
    </row>
    <row r="320" spans="14:62" s="20" customFormat="1" x14ac:dyDescent="0.2">
      <c r="N320" s="1607"/>
      <c r="Q320" s="684"/>
      <c r="R320" s="1534"/>
      <c r="T320" s="1588"/>
      <c r="U320" s="1588"/>
      <c r="V320" s="1535"/>
      <c r="W320" s="1535"/>
      <c r="X320" s="1535"/>
      <c r="Y320" s="1835"/>
      <c r="Z320" s="1535"/>
      <c r="AA320" s="1535"/>
      <c r="AZ320" s="1893"/>
      <c r="BE320" s="1588"/>
      <c r="BF320" s="21"/>
      <c r="BG320" s="21"/>
      <c r="BH320" s="1536"/>
      <c r="BI320" s="1536"/>
      <c r="BJ320" s="436"/>
    </row>
    <row r="321" spans="14:62" s="20" customFormat="1" x14ac:dyDescent="0.2">
      <c r="N321" s="1607"/>
      <c r="Q321" s="684"/>
      <c r="R321" s="1534"/>
      <c r="T321" s="1588"/>
      <c r="U321" s="1588"/>
      <c r="V321" s="1535"/>
      <c r="W321" s="1535"/>
      <c r="X321" s="1535"/>
      <c r="Y321" s="1835"/>
      <c r="Z321" s="1535"/>
      <c r="AA321" s="1535"/>
      <c r="AZ321" s="1893"/>
      <c r="BE321" s="1588"/>
      <c r="BF321" s="21"/>
      <c r="BG321" s="21"/>
      <c r="BH321" s="1536"/>
      <c r="BI321" s="1536"/>
      <c r="BJ321" s="436"/>
    </row>
    <row r="322" spans="14:62" s="20" customFormat="1" x14ac:dyDescent="0.2">
      <c r="N322" s="1607"/>
      <c r="Q322" s="684"/>
      <c r="R322" s="1534"/>
      <c r="T322" s="1588"/>
      <c r="U322" s="1588"/>
      <c r="V322" s="1535"/>
      <c r="W322" s="1535"/>
      <c r="X322" s="1535"/>
      <c r="Y322" s="1835"/>
      <c r="Z322" s="1535"/>
      <c r="AA322" s="1535"/>
      <c r="AZ322" s="1893"/>
      <c r="BE322" s="1588"/>
      <c r="BF322" s="21"/>
      <c r="BG322" s="21"/>
      <c r="BH322" s="1536"/>
      <c r="BI322" s="1536"/>
      <c r="BJ322" s="436"/>
    </row>
    <row r="323" spans="14:62" s="20" customFormat="1" x14ac:dyDescent="0.2">
      <c r="N323" s="1607"/>
      <c r="Q323" s="684"/>
      <c r="R323" s="1534"/>
      <c r="T323" s="1588"/>
      <c r="U323" s="1588"/>
      <c r="V323" s="1535"/>
      <c r="W323" s="1535"/>
      <c r="X323" s="1535"/>
      <c r="Y323" s="1835"/>
      <c r="Z323" s="1535"/>
      <c r="AA323" s="1535"/>
      <c r="AZ323" s="1893"/>
      <c r="BE323" s="1588"/>
      <c r="BF323" s="21"/>
      <c r="BG323" s="21"/>
      <c r="BH323" s="1536"/>
      <c r="BI323" s="1536"/>
      <c r="BJ323" s="436"/>
    </row>
    <row r="324" spans="14:62" s="20" customFormat="1" x14ac:dyDescent="0.2">
      <c r="N324" s="1607"/>
      <c r="Q324" s="684"/>
      <c r="R324" s="1534"/>
      <c r="T324" s="1588"/>
      <c r="U324" s="1588"/>
      <c r="V324" s="1535"/>
      <c r="W324" s="1535"/>
      <c r="X324" s="1535"/>
      <c r="Y324" s="1835"/>
      <c r="Z324" s="1535"/>
      <c r="AA324" s="1535"/>
      <c r="AZ324" s="1893"/>
      <c r="BE324" s="1588"/>
      <c r="BF324" s="21"/>
      <c r="BG324" s="21"/>
      <c r="BH324" s="1536"/>
      <c r="BI324" s="1536"/>
      <c r="BJ324" s="436"/>
    </row>
    <row r="325" spans="14:62" s="20" customFormat="1" x14ac:dyDescent="0.2">
      <c r="N325" s="1607"/>
      <c r="Q325" s="684"/>
      <c r="R325" s="1534"/>
      <c r="T325" s="1588"/>
      <c r="U325" s="1588"/>
      <c r="V325" s="1535"/>
      <c r="W325" s="1535"/>
      <c r="X325" s="1535"/>
      <c r="Y325" s="1835"/>
      <c r="Z325" s="1535"/>
      <c r="AA325" s="1535"/>
      <c r="AZ325" s="1893"/>
      <c r="BE325" s="1588"/>
      <c r="BF325" s="21"/>
      <c r="BG325" s="21"/>
      <c r="BH325" s="1536"/>
      <c r="BI325" s="1536"/>
      <c r="BJ325" s="436"/>
    </row>
    <row r="326" spans="14:62" s="20" customFormat="1" x14ac:dyDescent="0.2">
      <c r="N326" s="1607"/>
      <c r="Q326" s="684"/>
      <c r="R326" s="1534"/>
      <c r="T326" s="1588"/>
      <c r="U326" s="1588"/>
      <c r="V326" s="1535"/>
      <c r="W326" s="1535"/>
      <c r="X326" s="1535"/>
      <c r="Y326" s="1835"/>
      <c r="Z326" s="1535"/>
      <c r="AA326" s="1535"/>
      <c r="AZ326" s="1893"/>
      <c r="BE326" s="1588"/>
      <c r="BF326" s="21"/>
      <c r="BG326" s="21"/>
      <c r="BH326" s="1536"/>
      <c r="BI326" s="1536"/>
      <c r="BJ326" s="436"/>
    </row>
    <row r="327" spans="14:62" s="20" customFormat="1" x14ac:dyDescent="0.2">
      <c r="N327" s="1607"/>
      <c r="Q327" s="684"/>
      <c r="R327" s="1534"/>
      <c r="T327" s="1588"/>
      <c r="U327" s="1588"/>
      <c r="V327" s="1535"/>
      <c r="W327" s="1535"/>
      <c r="X327" s="1535"/>
      <c r="Y327" s="1835"/>
      <c r="Z327" s="1535"/>
      <c r="AA327" s="1535"/>
      <c r="AZ327" s="1893"/>
      <c r="BE327" s="1588"/>
      <c r="BF327" s="21"/>
      <c r="BG327" s="21"/>
      <c r="BH327" s="1536"/>
      <c r="BI327" s="1536"/>
      <c r="BJ327" s="436"/>
    </row>
    <row r="328" spans="14:62" s="20" customFormat="1" x14ac:dyDescent="0.2">
      <c r="N328" s="1607"/>
      <c r="Q328" s="684"/>
      <c r="R328" s="1534"/>
      <c r="T328" s="1588"/>
      <c r="U328" s="1588"/>
      <c r="V328" s="1535"/>
      <c r="W328" s="1535"/>
      <c r="X328" s="1535"/>
      <c r="Y328" s="1835"/>
      <c r="Z328" s="1535"/>
      <c r="AA328" s="1535"/>
      <c r="AZ328" s="1893"/>
      <c r="BE328" s="1588"/>
      <c r="BF328" s="21"/>
      <c r="BG328" s="21"/>
      <c r="BH328" s="1536"/>
      <c r="BI328" s="1536"/>
      <c r="BJ328" s="436"/>
    </row>
    <row r="329" spans="14:62" s="20" customFormat="1" x14ac:dyDescent="0.2">
      <c r="N329" s="1607"/>
      <c r="Q329" s="684"/>
      <c r="R329" s="1534"/>
      <c r="T329" s="1588"/>
      <c r="U329" s="1588"/>
      <c r="V329" s="1535"/>
      <c r="W329" s="1535"/>
      <c r="X329" s="1535"/>
      <c r="Y329" s="1835"/>
      <c r="Z329" s="1535"/>
      <c r="AA329" s="1535"/>
      <c r="AZ329" s="1893"/>
      <c r="BE329" s="1588"/>
      <c r="BF329" s="21"/>
      <c r="BG329" s="21"/>
      <c r="BH329" s="1536"/>
      <c r="BI329" s="1536"/>
      <c r="BJ329" s="436"/>
    </row>
    <row r="330" spans="14:62" s="20" customFormat="1" x14ac:dyDescent="0.2">
      <c r="N330" s="1607"/>
      <c r="Q330" s="684"/>
      <c r="R330" s="1534"/>
      <c r="T330" s="1588"/>
      <c r="U330" s="1588"/>
      <c r="V330" s="1535"/>
      <c r="W330" s="1535"/>
      <c r="X330" s="1535"/>
      <c r="Y330" s="1835"/>
      <c r="Z330" s="1535"/>
      <c r="AA330" s="1535"/>
      <c r="AZ330" s="1893"/>
      <c r="BE330" s="1588"/>
      <c r="BF330" s="21"/>
      <c r="BG330" s="21"/>
      <c r="BH330" s="1536"/>
      <c r="BI330" s="1536"/>
      <c r="BJ330" s="436"/>
    </row>
    <row r="331" spans="14:62" s="20" customFormat="1" x14ac:dyDescent="0.2">
      <c r="N331" s="1607"/>
      <c r="Q331" s="684"/>
      <c r="R331" s="1534"/>
      <c r="T331" s="1588"/>
      <c r="U331" s="1588"/>
      <c r="V331" s="1535"/>
      <c r="W331" s="1535"/>
      <c r="X331" s="1535"/>
      <c r="Y331" s="1835"/>
      <c r="Z331" s="1535"/>
      <c r="AA331" s="1535"/>
      <c r="AZ331" s="1893"/>
      <c r="BE331" s="1588"/>
      <c r="BF331" s="21"/>
      <c r="BG331" s="21"/>
      <c r="BH331" s="1536"/>
      <c r="BI331" s="1536"/>
      <c r="BJ331" s="436"/>
    </row>
    <row r="332" spans="14:62" s="20" customFormat="1" x14ac:dyDescent="0.2">
      <c r="N332" s="1607"/>
      <c r="Q332" s="684"/>
      <c r="R332" s="1534"/>
      <c r="T332" s="1588"/>
      <c r="U332" s="1588"/>
      <c r="V332" s="1535"/>
      <c r="W332" s="1535"/>
      <c r="X332" s="1535"/>
      <c r="Y332" s="1835"/>
      <c r="Z332" s="1535"/>
      <c r="AA332" s="1535"/>
      <c r="AZ332" s="1893"/>
      <c r="BE332" s="1588"/>
      <c r="BF332" s="21"/>
      <c r="BG332" s="21"/>
      <c r="BH332" s="1536"/>
      <c r="BI332" s="1536"/>
      <c r="BJ332" s="436"/>
    </row>
    <row r="333" spans="14:62" s="20" customFormat="1" x14ac:dyDescent="0.2">
      <c r="N333" s="1607"/>
      <c r="Q333" s="684"/>
      <c r="R333" s="1534"/>
      <c r="T333" s="1588"/>
      <c r="U333" s="1588"/>
      <c r="V333" s="1535"/>
      <c r="W333" s="1535"/>
      <c r="X333" s="1535"/>
      <c r="Y333" s="1835"/>
      <c r="Z333" s="1535"/>
      <c r="AA333" s="1535"/>
      <c r="AZ333" s="1893"/>
      <c r="BE333" s="1588"/>
      <c r="BF333" s="21"/>
      <c r="BG333" s="21"/>
      <c r="BH333" s="1536"/>
      <c r="BI333" s="1536"/>
      <c r="BJ333" s="436"/>
    </row>
    <row r="334" spans="14:62" s="20" customFormat="1" x14ac:dyDescent="0.2">
      <c r="N334" s="1607"/>
      <c r="Q334" s="684"/>
      <c r="R334" s="1534"/>
      <c r="T334" s="1588"/>
      <c r="U334" s="1588"/>
      <c r="V334" s="1535"/>
      <c r="W334" s="1535"/>
      <c r="X334" s="1535"/>
      <c r="Y334" s="1835"/>
      <c r="Z334" s="1535"/>
      <c r="AA334" s="1535"/>
      <c r="AZ334" s="1893"/>
      <c r="BE334" s="1588"/>
      <c r="BF334" s="21"/>
      <c r="BG334" s="21"/>
      <c r="BH334" s="1536"/>
      <c r="BI334" s="1536"/>
      <c r="BJ334" s="436"/>
    </row>
    <row r="335" spans="14:62" s="20" customFormat="1" x14ac:dyDescent="0.2">
      <c r="N335" s="1607"/>
      <c r="Q335" s="684"/>
      <c r="R335" s="1534"/>
      <c r="T335" s="1588"/>
      <c r="U335" s="1588"/>
      <c r="V335" s="1535"/>
      <c r="W335" s="1535"/>
      <c r="X335" s="1535"/>
      <c r="Y335" s="1835"/>
      <c r="Z335" s="1535"/>
      <c r="AA335" s="1535"/>
      <c r="AZ335" s="1893"/>
      <c r="BE335" s="1588"/>
      <c r="BF335" s="21"/>
      <c r="BG335" s="21"/>
      <c r="BH335" s="1536"/>
      <c r="BI335" s="1536"/>
      <c r="BJ335" s="436"/>
    </row>
    <row r="336" spans="14:62" s="20" customFormat="1" x14ac:dyDescent="0.2">
      <c r="N336" s="1607"/>
      <c r="Q336" s="684"/>
      <c r="R336" s="1534"/>
      <c r="T336" s="1588"/>
      <c r="U336" s="1588"/>
      <c r="V336" s="1535"/>
      <c r="W336" s="1535"/>
      <c r="X336" s="1535"/>
      <c r="Y336" s="1835"/>
      <c r="Z336" s="1535"/>
      <c r="AA336" s="1535"/>
      <c r="AZ336" s="1893"/>
      <c r="BE336" s="1588"/>
      <c r="BF336" s="21"/>
      <c r="BG336" s="21"/>
      <c r="BH336" s="1536"/>
      <c r="BI336" s="1536"/>
      <c r="BJ336" s="436"/>
    </row>
    <row r="337" spans="14:62" s="20" customFormat="1" x14ac:dyDescent="0.2">
      <c r="N337" s="1607"/>
      <c r="Q337" s="684"/>
      <c r="R337" s="1534"/>
      <c r="T337" s="1588"/>
      <c r="U337" s="1588"/>
      <c r="V337" s="1535"/>
      <c r="W337" s="1535"/>
      <c r="X337" s="1535"/>
      <c r="Y337" s="1835"/>
      <c r="Z337" s="1535"/>
      <c r="AA337" s="1535"/>
      <c r="AZ337" s="1893"/>
      <c r="BE337" s="1588"/>
      <c r="BF337" s="21"/>
      <c r="BG337" s="21"/>
      <c r="BH337" s="1536"/>
      <c r="BI337" s="1536"/>
      <c r="BJ337" s="436"/>
    </row>
    <row r="338" spans="14:62" s="20" customFormat="1" x14ac:dyDescent="0.2">
      <c r="N338" s="1607"/>
      <c r="Q338" s="684"/>
      <c r="R338" s="1534"/>
      <c r="T338" s="1588"/>
      <c r="U338" s="1588"/>
      <c r="V338" s="1535"/>
      <c r="W338" s="1535"/>
      <c r="X338" s="1535"/>
      <c r="Y338" s="1835"/>
      <c r="Z338" s="1535"/>
      <c r="AA338" s="1535"/>
      <c r="AZ338" s="1893"/>
      <c r="BE338" s="1588"/>
      <c r="BF338" s="21"/>
      <c r="BG338" s="21"/>
      <c r="BH338" s="1536"/>
      <c r="BI338" s="1536"/>
      <c r="BJ338" s="436"/>
    </row>
    <row r="339" spans="14:62" s="20" customFormat="1" x14ac:dyDescent="0.2">
      <c r="N339" s="1607"/>
      <c r="Q339" s="684"/>
      <c r="R339" s="1534"/>
      <c r="T339" s="1588"/>
      <c r="U339" s="1588"/>
      <c r="V339" s="1535"/>
      <c r="W339" s="1535"/>
      <c r="X339" s="1535"/>
      <c r="Y339" s="1835"/>
      <c r="Z339" s="1535"/>
      <c r="AA339" s="1535"/>
      <c r="AZ339" s="1893"/>
      <c r="BE339" s="1588"/>
      <c r="BF339" s="21"/>
      <c r="BG339" s="21"/>
      <c r="BH339" s="1536"/>
      <c r="BI339" s="1536"/>
      <c r="BJ339" s="436"/>
    </row>
    <row r="340" spans="14:62" s="20" customFormat="1" x14ac:dyDescent="0.2">
      <c r="N340" s="1607"/>
      <c r="Q340" s="684"/>
      <c r="R340" s="1534"/>
      <c r="T340" s="1588"/>
      <c r="U340" s="1588"/>
      <c r="V340" s="1535"/>
      <c r="W340" s="1535"/>
      <c r="X340" s="1535"/>
      <c r="Y340" s="1835"/>
      <c r="Z340" s="1535"/>
      <c r="AA340" s="1535"/>
      <c r="AZ340" s="1893"/>
      <c r="BE340" s="1588"/>
      <c r="BF340" s="21"/>
      <c r="BG340" s="21"/>
      <c r="BH340" s="1536"/>
      <c r="BI340" s="1536"/>
      <c r="BJ340" s="436"/>
    </row>
    <row r="341" spans="14:62" s="20" customFormat="1" x14ac:dyDescent="0.2">
      <c r="N341" s="1607"/>
      <c r="Q341" s="684"/>
      <c r="R341" s="1534"/>
      <c r="T341" s="1588"/>
      <c r="U341" s="1588"/>
      <c r="V341" s="1535"/>
      <c r="W341" s="1535"/>
      <c r="X341" s="1535"/>
      <c r="Y341" s="1835"/>
      <c r="Z341" s="1535"/>
      <c r="AA341" s="1535"/>
      <c r="AZ341" s="1893"/>
      <c r="BE341" s="1588"/>
      <c r="BF341" s="21"/>
      <c r="BG341" s="21"/>
      <c r="BH341" s="1536"/>
      <c r="BI341" s="1536"/>
      <c r="BJ341" s="436"/>
    </row>
    <row r="342" spans="14:62" s="20" customFormat="1" x14ac:dyDescent="0.2">
      <c r="N342" s="1607"/>
      <c r="Q342" s="684"/>
      <c r="R342" s="1534"/>
      <c r="T342" s="1588"/>
      <c r="U342" s="1588"/>
      <c r="V342" s="1535"/>
      <c r="W342" s="1535"/>
      <c r="X342" s="1535"/>
      <c r="Y342" s="1835"/>
      <c r="Z342" s="1535"/>
      <c r="AA342" s="1535"/>
      <c r="AZ342" s="1893"/>
      <c r="BE342" s="1588"/>
      <c r="BF342" s="21"/>
      <c r="BG342" s="21"/>
      <c r="BH342" s="1536"/>
      <c r="BI342" s="1536"/>
      <c r="BJ342" s="436"/>
    </row>
    <row r="343" spans="14:62" s="20" customFormat="1" x14ac:dyDescent="0.2">
      <c r="N343" s="1607"/>
      <c r="Q343" s="684"/>
      <c r="R343" s="1534"/>
      <c r="T343" s="1588"/>
      <c r="U343" s="1588"/>
      <c r="V343" s="1535"/>
      <c r="W343" s="1535"/>
      <c r="X343" s="1535"/>
      <c r="Y343" s="1835"/>
      <c r="Z343" s="1535"/>
      <c r="AA343" s="1535"/>
      <c r="AZ343" s="1893"/>
      <c r="BE343" s="1588"/>
      <c r="BF343" s="21"/>
      <c r="BG343" s="21"/>
      <c r="BH343" s="1536"/>
      <c r="BI343" s="1536"/>
      <c r="BJ343" s="436"/>
    </row>
    <row r="344" spans="14:62" s="20" customFormat="1" x14ac:dyDescent="0.2">
      <c r="N344" s="1607"/>
      <c r="Q344" s="684"/>
      <c r="R344" s="1534"/>
      <c r="T344" s="1588"/>
      <c r="U344" s="1588"/>
      <c r="V344" s="1535"/>
      <c r="W344" s="1535"/>
      <c r="X344" s="1535"/>
      <c r="Y344" s="1835"/>
      <c r="Z344" s="1535"/>
      <c r="AA344" s="1535"/>
      <c r="AZ344" s="1893"/>
      <c r="BE344" s="1588"/>
      <c r="BF344" s="21"/>
      <c r="BG344" s="21"/>
      <c r="BH344" s="1536"/>
      <c r="BI344" s="1536"/>
      <c r="BJ344" s="436"/>
    </row>
    <row r="345" spans="14:62" s="20" customFormat="1" x14ac:dyDescent="0.2">
      <c r="N345" s="1607"/>
      <c r="Q345" s="684"/>
      <c r="R345" s="1534"/>
      <c r="T345" s="1588"/>
      <c r="U345" s="1588"/>
      <c r="V345" s="1535"/>
      <c r="W345" s="1535"/>
      <c r="X345" s="1535"/>
      <c r="Y345" s="1835"/>
      <c r="Z345" s="1535"/>
      <c r="AA345" s="1535"/>
      <c r="AZ345" s="1893"/>
      <c r="BE345" s="1588"/>
      <c r="BF345" s="21"/>
      <c r="BG345" s="21"/>
      <c r="BH345" s="1536"/>
      <c r="BI345" s="1536"/>
      <c r="BJ345" s="436"/>
    </row>
    <row r="346" spans="14:62" s="20" customFormat="1" x14ac:dyDescent="0.2">
      <c r="N346" s="1607"/>
      <c r="Q346" s="684"/>
      <c r="R346" s="1534"/>
      <c r="T346" s="1588"/>
      <c r="U346" s="1588"/>
      <c r="V346" s="1535"/>
      <c r="W346" s="1535"/>
      <c r="X346" s="1535"/>
      <c r="Y346" s="1835"/>
      <c r="Z346" s="1535"/>
      <c r="AA346" s="1535"/>
      <c r="AZ346" s="1893"/>
      <c r="BE346" s="1588"/>
      <c r="BF346" s="21"/>
      <c r="BG346" s="21"/>
      <c r="BH346" s="1536"/>
      <c r="BI346" s="1536"/>
      <c r="BJ346" s="436"/>
    </row>
    <row r="347" spans="14:62" s="20" customFormat="1" x14ac:dyDescent="0.2">
      <c r="N347" s="1607"/>
      <c r="Q347" s="684"/>
      <c r="R347" s="1534"/>
      <c r="T347" s="1588"/>
      <c r="U347" s="1588"/>
      <c r="V347" s="1535"/>
      <c r="W347" s="1535"/>
      <c r="X347" s="1535"/>
      <c r="Y347" s="1835"/>
      <c r="Z347" s="1535"/>
      <c r="AA347" s="1535"/>
      <c r="AZ347" s="1893"/>
      <c r="BE347" s="1588"/>
      <c r="BF347" s="21"/>
      <c r="BG347" s="21"/>
      <c r="BH347" s="1536"/>
      <c r="BI347" s="1536"/>
      <c r="BJ347" s="436"/>
    </row>
    <row r="348" spans="14:62" s="20" customFormat="1" x14ac:dyDescent="0.2">
      <c r="N348" s="1607"/>
      <c r="Q348" s="684"/>
      <c r="R348" s="1534"/>
      <c r="T348" s="1588"/>
      <c r="U348" s="1588"/>
      <c r="V348" s="1535"/>
      <c r="W348" s="1535"/>
      <c r="X348" s="1535"/>
      <c r="Y348" s="1835"/>
      <c r="Z348" s="1535"/>
      <c r="AA348" s="1535"/>
      <c r="AZ348" s="1893"/>
      <c r="BE348" s="1588"/>
      <c r="BF348" s="21"/>
      <c r="BG348" s="21"/>
      <c r="BH348" s="1536"/>
      <c r="BI348" s="1536"/>
      <c r="BJ348" s="436"/>
    </row>
    <row r="349" spans="14:62" s="20" customFormat="1" x14ac:dyDescent="0.2">
      <c r="N349" s="1607"/>
      <c r="Q349" s="684"/>
      <c r="R349" s="1534"/>
      <c r="T349" s="1588"/>
      <c r="U349" s="1588"/>
      <c r="V349" s="1535"/>
      <c r="W349" s="1535"/>
      <c r="X349" s="1535"/>
      <c r="Y349" s="1835"/>
      <c r="Z349" s="1535"/>
      <c r="AA349" s="1535"/>
      <c r="AZ349" s="1893"/>
      <c r="BE349" s="1588"/>
      <c r="BF349" s="21"/>
      <c r="BG349" s="21"/>
      <c r="BH349" s="1536"/>
      <c r="BI349" s="1536"/>
      <c r="BJ349" s="436"/>
    </row>
    <row r="350" spans="14:62" s="20" customFormat="1" x14ac:dyDescent="0.2">
      <c r="N350" s="1607"/>
      <c r="Q350" s="684"/>
      <c r="R350" s="1534"/>
      <c r="T350" s="1588"/>
      <c r="U350" s="1588"/>
      <c r="V350" s="1535"/>
      <c r="W350" s="1535"/>
      <c r="X350" s="1535"/>
      <c r="Y350" s="1835"/>
      <c r="Z350" s="1535"/>
      <c r="AA350" s="1535"/>
      <c r="AZ350" s="1893"/>
      <c r="BE350" s="1588"/>
      <c r="BF350" s="21"/>
      <c r="BG350" s="21"/>
      <c r="BH350" s="1536"/>
      <c r="BI350" s="1536"/>
      <c r="BJ350" s="436"/>
    </row>
    <row r="351" spans="14:62" s="20" customFormat="1" x14ac:dyDescent="0.2">
      <c r="N351" s="1607"/>
      <c r="Q351" s="684"/>
      <c r="R351" s="1534"/>
      <c r="T351" s="1588"/>
      <c r="U351" s="1588"/>
      <c r="V351" s="1535"/>
      <c r="W351" s="1535"/>
      <c r="X351" s="1535"/>
      <c r="Y351" s="1835"/>
      <c r="Z351" s="1535"/>
      <c r="AA351" s="1535"/>
      <c r="AZ351" s="1893"/>
      <c r="BE351" s="1588"/>
      <c r="BF351" s="21"/>
      <c r="BG351" s="21"/>
      <c r="BH351" s="1536"/>
      <c r="BI351" s="1536"/>
      <c r="BJ351" s="436"/>
    </row>
    <row r="352" spans="14:62" s="20" customFormat="1" x14ac:dyDescent="0.2">
      <c r="N352" s="1607"/>
      <c r="Q352" s="684"/>
      <c r="R352" s="1534"/>
      <c r="T352" s="1588"/>
      <c r="U352" s="1588"/>
      <c r="V352" s="1535"/>
      <c r="W352" s="1535"/>
      <c r="X352" s="1535"/>
      <c r="Y352" s="1835"/>
      <c r="Z352" s="1535"/>
      <c r="AA352" s="1535"/>
      <c r="AZ352" s="1893"/>
      <c r="BE352" s="1588"/>
      <c r="BF352" s="21"/>
      <c r="BG352" s="21"/>
      <c r="BH352" s="1536"/>
      <c r="BI352" s="1536"/>
      <c r="BJ352" s="436"/>
    </row>
    <row r="353" spans="14:62" s="20" customFormat="1" x14ac:dyDescent="0.2">
      <c r="N353" s="1607"/>
      <c r="Q353" s="684"/>
      <c r="R353" s="1534"/>
      <c r="T353" s="1588"/>
      <c r="U353" s="1588"/>
      <c r="V353" s="1535"/>
      <c r="W353" s="1535"/>
      <c r="X353" s="1535"/>
      <c r="Y353" s="1835"/>
      <c r="Z353" s="1535"/>
      <c r="AA353" s="1535"/>
      <c r="AZ353" s="1893"/>
      <c r="BE353" s="1588"/>
      <c r="BF353" s="21"/>
      <c r="BG353" s="21"/>
      <c r="BH353" s="1536"/>
      <c r="BI353" s="1536"/>
      <c r="BJ353" s="436"/>
    </row>
    <row r="354" spans="14:62" s="20" customFormat="1" x14ac:dyDescent="0.2">
      <c r="N354" s="1607"/>
      <c r="Q354" s="684"/>
      <c r="R354" s="1534"/>
      <c r="T354" s="1588"/>
      <c r="U354" s="1588"/>
      <c r="V354" s="1535"/>
      <c r="W354" s="1535"/>
      <c r="X354" s="1535"/>
      <c r="Y354" s="1835"/>
      <c r="Z354" s="1535"/>
      <c r="AA354" s="1535"/>
      <c r="AZ354" s="1893"/>
      <c r="BE354" s="1588"/>
      <c r="BF354" s="21"/>
      <c r="BG354" s="21"/>
      <c r="BH354" s="1536"/>
      <c r="BI354" s="1536"/>
      <c r="BJ354" s="436"/>
    </row>
    <row r="355" spans="14:62" s="20" customFormat="1" x14ac:dyDescent="0.2">
      <c r="N355" s="1607"/>
      <c r="Q355" s="684"/>
      <c r="R355" s="1534"/>
      <c r="T355" s="1588"/>
      <c r="U355" s="1588"/>
      <c r="V355" s="1535"/>
      <c r="W355" s="1535"/>
      <c r="X355" s="1535"/>
      <c r="Y355" s="1835"/>
      <c r="Z355" s="1535"/>
      <c r="AA355" s="1535"/>
      <c r="AZ355" s="1893"/>
      <c r="BE355" s="1588"/>
      <c r="BF355" s="21"/>
      <c r="BG355" s="21"/>
      <c r="BH355" s="1536"/>
      <c r="BI355" s="1536"/>
      <c r="BJ355" s="436"/>
    </row>
    <row r="356" spans="14:62" s="20" customFormat="1" x14ac:dyDescent="0.2">
      <c r="N356" s="1607"/>
      <c r="Q356" s="684"/>
      <c r="R356" s="1534"/>
      <c r="T356" s="1588"/>
      <c r="U356" s="1588"/>
      <c r="V356" s="1535"/>
      <c r="W356" s="1535"/>
      <c r="X356" s="1535"/>
      <c r="Y356" s="1835"/>
      <c r="Z356" s="1535"/>
      <c r="AA356" s="1535"/>
      <c r="AZ356" s="1893"/>
      <c r="BE356" s="1588"/>
      <c r="BF356" s="21"/>
      <c r="BG356" s="21"/>
      <c r="BH356" s="1536"/>
      <c r="BI356" s="1536"/>
      <c r="BJ356" s="436"/>
    </row>
    <row r="357" spans="14:62" s="20" customFormat="1" x14ac:dyDescent="0.2">
      <c r="N357" s="1607"/>
      <c r="Q357" s="684"/>
      <c r="R357" s="1534"/>
      <c r="T357" s="1588"/>
      <c r="U357" s="1588"/>
      <c r="V357" s="1535"/>
      <c r="W357" s="1535"/>
      <c r="X357" s="1535"/>
      <c r="Y357" s="1835"/>
      <c r="Z357" s="1535"/>
      <c r="AA357" s="1535"/>
      <c r="AZ357" s="1893"/>
      <c r="BE357" s="1588"/>
      <c r="BF357" s="21"/>
      <c r="BG357" s="21"/>
      <c r="BH357" s="1536"/>
      <c r="BI357" s="1536"/>
      <c r="BJ357" s="436"/>
    </row>
    <row r="358" spans="14:62" s="20" customFormat="1" x14ac:dyDescent="0.2">
      <c r="N358" s="1607"/>
      <c r="Q358" s="684"/>
      <c r="R358" s="1534"/>
      <c r="T358" s="1588"/>
      <c r="U358" s="1588"/>
      <c r="V358" s="1535"/>
      <c r="W358" s="1535"/>
      <c r="X358" s="1535"/>
      <c r="Y358" s="1835"/>
      <c r="Z358" s="1535"/>
      <c r="AA358" s="1535"/>
      <c r="AZ358" s="1893"/>
      <c r="BE358" s="1588"/>
      <c r="BF358" s="21"/>
      <c r="BG358" s="21"/>
      <c r="BH358" s="1536"/>
      <c r="BI358" s="1536"/>
      <c r="BJ358" s="436"/>
    </row>
    <row r="359" spans="14:62" s="20" customFormat="1" x14ac:dyDescent="0.2">
      <c r="N359" s="1607"/>
      <c r="Q359" s="684"/>
      <c r="R359" s="1534"/>
      <c r="T359" s="1588"/>
      <c r="U359" s="1588"/>
      <c r="V359" s="1535"/>
      <c r="W359" s="1535"/>
      <c r="X359" s="1535"/>
      <c r="Y359" s="1835"/>
      <c r="Z359" s="1535"/>
      <c r="AA359" s="1535"/>
      <c r="AZ359" s="1893"/>
      <c r="BE359" s="1588"/>
      <c r="BF359" s="21"/>
      <c r="BG359" s="21"/>
      <c r="BH359" s="1536"/>
      <c r="BI359" s="1536"/>
      <c r="BJ359" s="436"/>
    </row>
    <row r="360" spans="14:62" s="20" customFormat="1" x14ac:dyDescent="0.2">
      <c r="N360" s="1607"/>
      <c r="Q360" s="684"/>
      <c r="R360" s="1534"/>
      <c r="T360" s="1588"/>
      <c r="U360" s="1588"/>
      <c r="V360" s="1535"/>
      <c r="W360" s="1535"/>
      <c r="X360" s="1535"/>
      <c r="Y360" s="1835"/>
      <c r="Z360" s="1535"/>
      <c r="AA360" s="1535"/>
      <c r="AZ360" s="1893"/>
      <c r="BE360" s="1588"/>
      <c r="BF360" s="21"/>
      <c r="BG360" s="21"/>
      <c r="BH360" s="1536"/>
      <c r="BI360" s="1536"/>
      <c r="BJ360" s="436"/>
    </row>
    <row r="361" spans="14:62" s="20" customFormat="1" x14ac:dyDescent="0.2">
      <c r="N361" s="1607"/>
      <c r="Q361" s="684"/>
      <c r="R361" s="1534"/>
      <c r="T361" s="1588"/>
      <c r="U361" s="1588"/>
      <c r="V361" s="1535"/>
      <c r="W361" s="1535"/>
      <c r="X361" s="1535"/>
      <c r="Y361" s="1835"/>
      <c r="Z361" s="1535"/>
      <c r="AA361" s="1535"/>
      <c r="AZ361" s="1893"/>
      <c r="BE361" s="1588"/>
      <c r="BF361" s="21"/>
      <c r="BG361" s="21"/>
      <c r="BH361" s="1536"/>
      <c r="BI361" s="1536"/>
      <c r="BJ361" s="436"/>
    </row>
    <row r="362" spans="14:62" s="20" customFormat="1" x14ac:dyDescent="0.2">
      <c r="N362" s="1607"/>
      <c r="Q362" s="684"/>
      <c r="R362" s="1534"/>
      <c r="T362" s="1588"/>
      <c r="U362" s="1588"/>
      <c r="V362" s="1535"/>
      <c r="W362" s="1535"/>
      <c r="X362" s="1535"/>
      <c r="Y362" s="1835"/>
      <c r="Z362" s="1535"/>
      <c r="AA362" s="1535"/>
      <c r="AZ362" s="1893"/>
      <c r="BE362" s="1588"/>
      <c r="BF362" s="21"/>
      <c r="BG362" s="21"/>
      <c r="BH362" s="1536"/>
      <c r="BI362" s="1536"/>
      <c r="BJ362" s="436"/>
    </row>
    <row r="363" spans="14:62" s="20" customFormat="1" x14ac:dyDescent="0.2">
      <c r="N363" s="1607"/>
      <c r="Q363" s="684"/>
      <c r="R363" s="1534"/>
      <c r="T363" s="1588"/>
      <c r="U363" s="1588"/>
      <c r="V363" s="1535"/>
      <c r="W363" s="1535"/>
      <c r="X363" s="1535"/>
      <c r="Y363" s="1835"/>
      <c r="Z363" s="1535"/>
      <c r="AA363" s="1535"/>
      <c r="AZ363" s="1893"/>
      <c r="BE363" s="1588"/>
      <c r="BF363" s="21"/>
      <c r="BG363" s="21"/>
      <c r="BH363" s="1536"/>
      <c r="BI363" s="1536"/>
      <c r="BJ363" s="436"/>
    </row>
    <row r="364" spans="14:62" s="20" customFormat="1" x14ac:dyDescent="0.2">
      <c r="N364" s="1607"/>
      <c r="Q364" s="684"/>
      <c r="R364" s="1534"/>
      <c r="T364" s="1588"/>
      <c r="U364" s="1588"/>
      <c r="V364" s="1535"/>
      <c r="W364" s="1535"/>
      <c r="X364" s="1535"/>
      <c r="Y364" s="1835"/>
      <c r="Z364" s="1535"/>
      <c r="AA364" s="1535"/>
      <c r="AZ364" s="1893"/>
      <c r="BE364" s="1588"/>
      <c r="BF364" s="21"/>
      <c r="BG364" s="21"/>
      <c r="BH364" s="1536"/>
      <c r="BI364" s="1536"/>
      <c r="BJ364" s="436"/>
    </row>
    <row r="365" spans="14:62" s="20" customFormat="1" x14ac:dyDescent="0.2">
      <c r="N365" s="1607"/>
      <c r="Q365" s="684"/>
      <c r="R365" s="1534"/>
      <c r="T365" s="1588"/>
      <c r="U365" s="1588"/>
      <c r="V365" s="1535"/>
      <c r="W365" s="1535"/>
      <c r="X365" s="1535"/>
      <c r="Y365" s="1835"/>
      <c r="Z365" s="1535"/>
      <c r="AA365" s="1535"/>
      <c r="AZ365" s="1893"/>
      <c r="BE365" s="1588"/>
      <c r="BF365" s="21"/>
      <c r="BG365" s="21"/>
      <c r="BH365" s="1536"/>
      <c r="BI365" s="1536"/>
      <c r="BJ365" s="436"/>
    </row>
    <row r="366" spans="14:62" s="20" customFormat="1" x14ac:dyDescent="0.2">
      <c r="N366" s="1607"/>
      <c r="Q366" s="684"/>
      <c r="R366" s="1534"/>
      <c r="T366" s="1588"/>
      <c r="U366" s="1588"/>
      <c r="V366" s="1535"/>
      <c r="W366" s="1535"/>
      <c r="X366" s="1535"/>
      <c r="Y366" s="1835"/>
      <c r="Z366" s="1535"/>
      <c r="AA366" s="1535"/>
      <c r="AZ366" s="1893"/>
      <c r="BE366" s="1588"/>
      <c r="BF366" s="21"/>
      <c r="BG366" s="21"/>
      <c r="BH366" s="1536"/>
      <c r="BI366" s="1536"/>
      <c r="BJ366" s="436"/>
    </row>
    <row r="367" spans="14:62" s="20" customFormat="1" x14ac:dyDescent="0.2">
      <c r="N367" s="1607"/>
      <c r="Q367" s="684"/>
      <c r="R367" s="1534"/>
      <c r="T367" s="1588"/>
      <c r="U367" s="1588"/>
      <c r="V367" s="1535"/>
      <c r="W367" s="1535"/>
      <c r="X367" s="1535"/>
      <c r="Y367" s="1835"/>
      <c r="Z367" s="1535"/>
      <c r="AA367" s="1535"/>
      <c r="AZ367" s="1893"/>
      <c r="BE367" s="1588"/>
      <c r="BF367" s="21"/>
      <c r="BG367" s="21"/>
      <c r="BH367" s="1536"/>
      <c r="BI367" s="1536"/>
      <c r="BJ367" s="436"/>
    </row>
    <row r="368" spans="14:62" s="20" customFormat="1" x14ac:dyDescent="0.2">
      <c r="N368" s="1607"/>
      <c r="Q368" s="684"/>
      <c r="R368" s="1534"/>
      <c r="T368" s="1588"/>
      <c r="U368" s="1588"/>
      <c r="V368" s="1535"/>
      <c r="W368" s="1535"/>
      <c r="X368" s="1535"/>
      <c r="Y368" s="1835"/>
      <c r="Z368" s="1535"/>
      <c r="AA368" s="1535"/>
      <c r="AZ368" s="1893"/>
      <c r="BE368" s="1588"/>
      <c r="BF368" s="21"/>
      <c r="BG368" s="21"/>
      <c r="BH368" s="1536"/>
      <c r="BI368" s="1536"/>
      <c r="BJ368" s="436"/>
    </row>
    <row r="369" spans="14:62" s="20" customFormat="1" x14ac:dyDescent="0.2">
      <c r="N369" s="1607"/>
      <c r="Q369" s="684"/>
      <c r="R369" s="1534"/>
      <c r="T369" s="1588"/>
      <c r="U369" s="1588"/>
      <c r="V369" s="1535"/>
      <c r="W369" s="1535"/>
      <c r="X369" s="1535"/>
      <c r="Y369" s="1835"/>
      <c r="Z369" s="1535"/>
      <c r="AA369" s="1535"/>
      <c r="AZ369" s="1893"/>
      <c r="BE369" s="1588"/>
      <c r="BF369" s="21"/>
      <c r="BG369" s="21"/>
      <c r="BH369" s="1536"/>
      <c r="BI369" s="1536"/>
      <c r="BJ369" s="436"/>
    </row>
    <row r="370" spans="14:62" s="20" customFormat="1" x14ac:dyDescent="0.2">
      <c r="N370" s="1607"/>
      <c r="Q370" s="684"/>
      <c r="R370" s="1534"/>
      <c r="T370" s="1588"/>
      <c r="U370" s="1588"/>
      <c r="V370" s="1535"/>
      <c r="W370" s="1535"/>
      <c r="X370" s="1535"/>
      <c r="Y370" s="1835"/>
      <c r="Z370" s="1535"/>
      <c r="AA370" s="1535"/>
      <c r="AZ370" s="1893"/>
      <c r="BE370" s="1588"/>
      <c r="BF370" s="21"/>
      <c r="BG370" s="21"/>
      <c r="BH370" s="1536"/>
      <c r="BI370" s="1536"/>
      <c r="BJ370" s="436"/>
    </row>
    <row r="371" spans="14:62" s="20" customFormat="1" x14ac:dyDescent="0.2">
      <c r="N371" s="1607"/>
      <c r="Q371" s="684"/>
      <c r="R371" s="1534"/>
      <c r="T371" s="1588"/>
      <c r="U371" s="1588"/>
      <c r="V371" s="1535"/>
      <c r="W371" s="1535"/>
      <c r="X371" s="1535"/>
      <c r="Y371" s="1835"/>
      <c r="Z371" s="1535"/>
      <c r="AA371" s="1535"/>
      <c r="AZ371" s="1893"/>
      <c r="BE371" s="1588"/>
      <c r="BF371" s="21"/>
      <c r="BG371" s="21"/>
      <c r="BH371" s="1536"/>
      <c r="BI371" s="1536"/>
      <c r="BJ371" s="436"/>
    </row>
    <row r="372" spans="14:62" s="20" customFormat="1" x14ac:dyDescent="0.2">
      <c r="N372" s="1607"/>
      <c r="Q372" s="684"/>
      <c r="R372" s="1534"/>
      <c r="T372" s="1588"/>
      <c r="U372" s="1588"/>
      <c r="V372" s="1535"/>
      <c r="W372" s="1535"/>
      <c r="X372" s="1535"/>
      <c r="Y372" s="1835"/>
      <c r="Z372" s="1535"/>
      <c r="AA372" s="1535"/>
      <c r="AZ372" s="1893"/>
      <c r="BE372" s="1588"/>
      <c r="BF372" s="21"/>
      <c r="BG372" s="21"/>
      <c r="BH372" s="1536"/>
      <c r="BI372" s="1536"/>
      <c r="BJ372" s="436"/>
    </row>
    <row r="373" spans="14:62" s="20" customFormat="1" x14ac:dyDescent="0.2">
      <c r="N373" s="1607"/>
      <c r="Q373" s="684"/>
      <c r="R373" s="1534"/>
      <c r="T373" s="1588"/>
      <c r="U373" s="1588"/>
      <c r="V373" s="1535"/>
      <c r="W373" s="1535"/>
      <c r="X373" s="1535"/>
      <c r="Y373" s="1835"/>
      <c r="Z373" s="1535"/>
      <c r="AA373" s="1535"/>
      <c r="AZ373" s="1893"/>
      <c r="BE373" s="1588"/>
      <c r="BF373" s="21"/>
      <c r="BG373" s="21"/>
      <c r="BH373" s="1536"/>
      <c r="BI373" s="1536"/>
      <c r="BJ373" s="436"/>
    </row>
    <row r="374" spans="14:62" s="20" customFormat="1" x14ac:dyDescent="0.2">
      <c r="N374" s="1607"/>
      <c r="Q374" s="684"/>
      <c r="R374" s="1534"/>
      <c r="T374" s="1588"/>
      <c r="U374" s="1588"/>
      <c r="V374" s="1535"/>
      <c r="W374" s="1535"/>
      <c r="X374" s="1535"/>
      <c r="Y374" s="1835"/>
      <c r="Z374" s="1535"/>
      <c r="AA374" s="1535"/>
      <c r="AZ374" s="1893"/>
      <c r="BE374" s="1588"/>
      <c r="BF374" s="21"/>
      <c r="BG374" s="21"/>
      <c r="BH374" s="1536"/>
      <c r="BI374" s="1536"/>
      <c r="BJ374" s="436"/>
    </row>
    <row r="375" spans="14:62" s="20" customFormat="1" x14ac:dyDescent="0.2">
      <c r="N375" s="1607"/>
      <c r="Q375" s="684"/>
      <c r="R375" s="1534"/>
      <c r="T375" s="1588"/>
      <c r="U375" s="1588"/>
      <c r="V375" s="1535"/>
      <c r="W375" s="1535"/>
      <c r="X375" s="1535"/>
      <c r="Y375" s="1835"/>
      <c r="Z375" s="1535"/>
      <c r="AA375" s="1535"/>
      <c r="AZ375" s="1893"/>
      <c r="BE375" s="1588"/>
      <c r="BF375" s="21"/>
      <c r="BG375" s="21"/>
      <c r="BH375" s="1536"/>
      <c r="BI375" s="1536"/>
      <c r="BJ375" s="436"/>
    </row>
    <row r="376" spans="14:62" s="20" customFormat="1" x14ac:dyDescent="0.2">
      <c r="N376" s="1607"/>
      <c r="Q376" s="684"/>
      <c r="R376" s="1534"/>
      <c r="T376" s="1588"/>
      <c r="U376" s="1588"/>
      <c r="V376" s="1535"/>
      <c r="W376" s="1535"/>
      <c r="X376" s="1535"/>
      <c r="Y376" s="1835"/>
      <c r="Z376" s="1535"/>
      <c r="AA376" s="1535"/>
      <c r="AZ376" s="1893"/>
      <c r="BE376" s="1588"/>
      <c r="BF376" s="21"/>
      <c r="BG376" s="21"/>
      <c r="BH376" s="1536"/>
      <c r="BI376" s="1536"/>
      <c r="BJ376" s="436"/>
    </row>
    <row r="377" spans="14:62" s="20" customFormat="1" x14ac:dyDescent="0.2">
      <c r="N377" s="1607"/>
      <c r="Q377" s="684"/>
      <c r="R377" s="1534"/>
      <c r="T377" s="1588"/>
      <c r="U377" s="1588"/>
      <c r="V377" s="1535"/>
      <c r="W377" s="1535"/>
      <c r="X377" s="1535"/>
      <c r="Y377" s="1835"/>
      <c r="Z377" s="1535"/>
      <c r="AA377" s="1535"/>
      <c r="AZ377" s="1893"/>
      <c r="BE377" s="1588"/>
      <c r="BF377" s="21"/>
      <c r="BG377" s="21"/>
      <c r="BH377" s="1536"/>
      <c r="BI377" s="1536"/>
      <c r="BJ377" s="436"/>
    </row>
    <row r="378" spans="14:62" s="20" customFormat="1" x14ac:dyDescent="0.2">
      <c r="N378" s="1607"/>
      <c r="Q378" s="684"/>
      <c r="R378" s="1534"/>
      <c r="T378" s="1588"/>
      <c r="U378" s="1588"/>
      <c r="V378" s="1535"/>
      <c r="W378" s="1535"/>
      <c r="X378" s="1535"/>
      <c r="Y378" s="1835"/>
      <c r="Z378" s="1535"/>
      <c r="AA378" s="1535"/>
      <c r="AZ378" s="1893"/>
      <c r="BE378" s="1588"/>
      <c r="BF378" s="21"/>
      <c r="BG378" s="21"/>
      <c r="BH378" s="1536"/>
      <c r="BI378" s="1536"/>
      <c r="BJ378" s="436"/>
    </row>
    <row r="379" spans="14:62" s="20" customFormat="1" x14ac:dyDescent="0.2">
      <c r="N379" s="1607"/>
      <c r="Q379" s="684"/>
      <c r="R379" s="1534"/>
      <c r="T379" s="1588"/>
      <c r="U379" s="1588"/>
      <c r="V379" s="1535"/>
      <c r="W379" s="1535"/>
      <c r="X379" s="1535"/>
      <c r="Y379" s="1835"/>
      <c r="Z379" s="1535"/>
      <c r="AA379" s="1535"/>
      <c r="AZ379" s="1893"/>
      <c r="BE379" s="1588"/>
      <c r="BF379" s="21"/>
      <c r="BG379" s="21"/>
      <c r="BH379" s="1536"/>
      <c r="BI379" s="1536"/>
      <c r="BJ379" s="436"/>
    </row>
    <row r="380" spans="14:62" s="20" customFormat="1" x14ac:dyDescent="0.2">
      <c r="N380" s="1607"/>
      <c r="Q380" s="684"/>
      <c r="R380" s="1534"/>
      <c r="T380" s="1588"/>
      <c r="U380" s="1588"/>
      <c r="V380" s="1535"/>
      <c r="W380" s="1535"/>
      <c r="X380" s="1535"/>
      <c r="Y380" s="1835"/>
      <c r="Z380" s="1535"/>
      <c r="AA380" s="1535"/>
      <c r="AZ380" s="1893"/>
      <c r="BE380" s="1588"/>
      <c r="BF380" s="21"/>
      <c r="BG380" s="21"/>
      <c r="BH380" s="1536"/>
      <c r="BI380" s="1536"/>
      <c r="BJ380" s="436"/>
    </row>
    <row r="381" spans="14:62" s="20" customFormat="1" x14ac:dyDescent="0.2">
      <c r="N381" s="1607"/>
      <c r="Q381" s="684"/>
      <c r="R381" s="1534"/>
      <c r="T381" s="1588"/>
      <c r="U381" s="1588"/>
      <c r="V381" s="1535"/>
      <c r="W381" s="1535"/>
      <c r="X381" s="1535"/>
      <c r="Y381" s="1835"/>
      <c r="Z381" s="1535"/>
      <c r="AA381" s="1535"/>
      <c r="AZ381" s="1893"/>
      <c r="BE381" s="1588"/>
      <c r="BF381" s="21"/>
      <c r="BG381" s="21"/>
      <c r="BH381" s="1536"/>
      <c r="BI381" s="1536"/>
      <c r="BJ381" s="436"/>
    </row>
    <row r="382" spans="14:62" s="20" customFormat="1" x14ac:dyDescent="0.2">
      <c r="N382" s="1607"/>
      <c r="Q382" s="684"/>
      <c r="R382" s="1534"/>
      <c r="T382" s="1588"/>
      <c r="U382" s="1588"/>
      <c r="V382" s="1535"/>
      <c r="W382" s="1535"/>
      <c r="X382" s="1535"/>
      <c r="Y382" s="1835"/>
      <c r="Z382" s="1535"/>
      <c r="AA382" s="1535"/>
      <c r="AZ382" s="1893"/>
      <c r="BE382" s="1588"/>
      <c r="BF382" s="21"/>
      <c r="BG382" s="21"/>
      <c r="BH382" s="1536"/>
      <c r="BI382" s="1536"/>
      <c r="BJ382" s="436"/>
    </row>
    <row r="383" spans="14:62" s="20" customFormat="1" x14ac:dyDescent="0.2">
      <c r="N383" s="1607"/>
      <c r="Q383" s="684"/>
      <c r="R383" s="1534"/>
      <c r="T383" s="1588"/>
      <c r="U383" s="1588"/>
      <c r="V383" s="1535"/>
      <c r="W383" s="1535"/>
      <c r="X383" s="1535"/>
      <c r="Y383" s="1835"/>
      <c r="Z383" s="1535"/>
      <c r="AA383" s="1535"/>
      <c r="AZ383" s="1893"/>
      <c r="BE383" s="1588"/>
      <c r="BF383" s="21"/>
      <c r="BG383" s="21"/>
      <c r="BH383" s="1536"/>
      <c r="BI383" s="1536"/>
      <c r="BJ383" s="436"/>
    </row>
    <row r="384" spans="14:62" s="20" customFormat="1" x14ac:dyDescent="0.2">
      <c r="N384" s="1607"/>
      <c r="Q384" s="684"/>
      <c r="R384" s="1534"/>
      <c r="T384" s="1588"/>
      <c r="U384" s="1588"/>
      <c r="V384" s="1535"/>
      <c r="W384" s="1535"/>
      <c r="X384" s="1535"/>
      <c r="Y384" s="1835"/>
      <c r="Z384" s="1535"/>
      <c r="AA384" s="1535"/>
      <c r="AZ384" s="1893"/>
      <c r="BE384" s="1588"/>
      <c r="BF384" s="21"/>
      <c r="BG384" s="21"/>
      <c r="BH384" s="1536"/>
      <c r="BI384" s="1536"/>
      <c r="BJ384" s="436"/>
    </row>
    <row r="385" spans="14:62" s="20" customFormat="1" x14ac:dyDescent="0.2">
      <c r="N385" s="1607"/>
      <c r="Q385" s="684"/>
      <c r="R385" s="1534"/>
      <c r="T385" s="1588"/>
      <c r="U385" s="1588"/>
      <c r="V385" s="1535"/>
      <c r="W385" s="1535"/>
      <c r="X385" s="1535"/>
      <c r="Y385" s="1835"/>
      <c r="Z385" s="1535"/>
      <c r="AA385" s="1535"/>
      <c r="AZ385" s="1893"/>
      <c r="BE385" s="1588"/>
      <c r="BF385" s="21"/>
      <c r="BG385" s="21"/>
      <c r="BH385" s="1536"/>
      <c r="BI385" s="1536"/>
      <c r="BJ385" s="436"/>
    </row>
    <row r="386" spans="14:62" s="20" customFormat="1" x14ac:dyDescent="0.2">
      <c r="N386" s="1607"/>
      <c r="Q386" s="684"/>
      <c r="R386" s="1534"/>
      <c r="T386" s="1588"/>
      <c r="U386" s="1588"/>
      <c r="V386" s="1535"/>
      <c r="W386" s="1535"/>
      <c r="X386" s="1535"/>
      <c r="Y386" s="1835"/>
      <c r="Z386" s="1535"/>
      <c r="AA386" s="1535"/>
      <c r="AZ386" s="1893"/>
      <c r="BE386" s="1588"/>
      <c r="BF386" s="21"/>
      <c r="BG386" s="21"/>
      <c r="BH386" s="1536"/>
      <c r="BI386" s="1536"/>
      <c r="BJ386" s="436"/>
    </row>
    <row r="387" spans="14:62" s="20" customFormat="1" x14ac:dyDescent="0.2">
      <c r="N387" s="1607"/>
      <c r="Q387" s="684"/>
      <c r="R387" s="1534"/>
      <c r="T387" s="1588"/>
      <c r="U387" s="1588"/>
      <c r="V387" s="1535"/>
      <c r="W387" s="1535"/>
      <c r="X387" s="1535"/>
      <c r="Y387" s="1835"/>
      <c r="Z387" s="1535"/>
      <c r="AA387" s="1535"/>
      <c r="AZ387" s="1893"/>
      <c r="BE387" s="1588"/>
      <c r="BF387" s="21"/>
      <c r="BG387" s="21"/>
      <c r="BH387" s="1536"/>
      <c r="BI387" s="1536"/>
      <c r="BJ387" s="436"/>
    </row>
    <row r="388" spans="14:62" s="20" customFormat="1" x14ac:dyDescent="0.2">
      <c r="N388" s="1607"/>
      <c r="Q388" s="684"/>
      <c r="R388" s="1534"/>
      <c r="T388" s="1588"/>
      <c r="U388" s="1588"/>
      <c r="V388" s="1535"/>
      <c r="W388" s="1535"/>
      <c r="X388" s="1535"/>
      <c r="Y388" s="1835"/>
      <c r="Z388" s="1535"/>
      <c r="AA388" s="1535"/>
      <c r="AZ388" s="1893"/>
      <c r="BE388" s="1588"/>
      <c r="BF388" s="21"/>
      <c r="BG388" s="21"/>
      <c r="BH388" s="1536"/>
      <c r="BI388" s="1536"/>
      <c r="BJ388" s="436"/>
    </row>
    <row r="389" spans="14:62" s="20" customFormat="1" x14ac:dyDescent="0.2">
      <c r="N389" s="1607"/>
      <c r="Q389" s="684"/>
      <c r="R389" s="1534"/>
      <c r="T389" s="1588"/>
      <c r="U389" s="1588"/>
      <c r="V389" s="1535"/>
      <c r="W389" s="1535"/>
      <c r="X389" s="1535"/>
      <c r="Y389" s="1835"/>
      <c r="Z389" s="1535"/>
      <c r="AA389" s="1535"/>
      <c r="AZ389" s="1893"/>
      <c r="BE389" s="1588"/>
      <c r="BF389" s="21"/>
      <c r="BG389" s="21"/>
      <c r="BH389" s="1536"/>
      <c r="BI389" s="1536"/>
      <c r="BJ389" s="436"/>
    </row>
    <row r="390" spans="14:62" s="20" customFormat="1" x14ac:dyDescent="0.2">
      <c r="N390" s="1607"/>
      <c r="Q390" s="684"/>
      <c r="R390" s="1534"/>
      <c r="T390" s="1588"/>
      <c r="U390" s="1588"/>
      <c r="V390" s="1535"/>
      <c r="W390" s="1535"/>
      <c r="X390" s="1535"/>
      <c r="Y390" s="1835"/>
      <c r="Z390" s="1535"/>
      <c r="AA390" s="1535"/>
      <c r="AZ390" s="1893"/>
      <c r="BE390" s="1588"/>
      <c r="BF390" s="21"/>
      <c r="BG390" s="21"/>
      <c r="BH390" s="1536"/>
      <c r="BI390" s="1536"/>
      <c r="BJ390" s="436"/>
    </row>
    <row r="391" spans="14:62" s="20" customFormat="1" x14ac:dyDescent="0.2">
      <c r="N391" s="1607"/>
      <c r="Q391" s="684"/>
      <c r="R391" s="1534"/>
      <c r="T391" s="1588"/>
      <c r="U391" s="1588"/>
      <c r="V391" s="1535"/>
      <c r="W391" s="1535"/>
      <c r="X391" s="1535"/>
      <c r="Y391" s="1835"/>
      <c r="Z391" s="1535"/>
      <c r="AA391" s="1535"/>
      <c r="AZ391" s="1893"/>
      <c r="BE391" s="1588"/>
      <c r="BF391" s="21"/>
      <c r="BG391" s="21"/>
      <c r="BH391" s="1536"/>
      <c r="BI391" s="1536"/>
      <c r="BJ391" s="436"/>
    </row>
    <row r="392" spans="14:62" s="20" customFormat="1" x14ac:dyDescent="0.2">
      <c r="N392" s="1607"/>
      <c r="Q392" s="684"/>
      <c r="R392" s="1534"/>
      <c r="T392" s="1588"/>
      <c r="U392" s="1588"/>
      <c r="V392" s="1535"/>
      <c r="W392" s="1535"/>
      <c r="X392" s="1535"/>
      <c r="Y392" s="1835"/>
      <c r="Z392" s="1535"/>
      <c r="AA392" s="1535"/>
      <c r="AZ392" s="1893"/>
      <c r="BE392" s="1588"/>
      <c r="BF392" s="21"/>
      <c r="BG392" s="21"/>
      <c r="BH392" s="1536"/>
      <c r="BI392" s="1536"/>
      <c r="BJ392" s="436"/>
    </row>
    <row r="393" spans="14:62" s="20" customFormat="1" x14ac:dyDescent="0.2">
      <c r="N393" s="1607"/>
      <c r="Q393" s="684"/>
      <c r="R393" s="1534"/>
      <c r="T393" s="1588"/>
      <c r="U393" s="1588"/>
      <c r="V393" s="1535"/>
      <c r="W393" s="1535"/>
      <c r="X393" s="1535"/>
      <c r="Y393" s="1835"/>
      <c r="Z393" s="1535"/>
      <c r="AA393" s="1535"/>
      <c r="AZ393" s="1893"/>
      <c r="BE393" s="1588"/>
      <c r="BF393" s="21"/>
      <c r="BG393" s="21"/>
      <c r="BH393" s="1536"/>
      <c r="BI393" s="1536"/>
      <c r="BJ393" s="436"/>
    </row>
    <row r="394" spans="14:62" s="20" customFormat="1" x14ac:dyDescent="0.2">
      <c r="N394" s="1607"/>
      <c r="Q394" s="684"/>
      <c r="R394" s="1534"/>
      <c r="T394" s="1588"/>
      <c r="U394" s="1588"/>
      <c r="V394" s="1535"/>
      <c r="W394" s="1535"/>
      <c r="X394" s="1535"/>
      <c r="Y394" s="1835"/>
      <c r="Z394" s="1535"/>
      <c r="AA394" s="1535"/>
      <c r="AZ394" s="1893"/>
      <c r="BE394" s="1588"/>
      <c r="BF394" s="21"/>
      <c r="BG394" s="21"/>
      <c r="BH394" s="1536"/>
      <c r="BI394" s="1536"/>
      <c r="BJ394" s="436"/>
    </row>
    <row r="395" spans="14:62" s="20" customFormat="1" x14ac:dyDescent="0.2">
      <c r="N395" s="1607"/>
      <c r="Q395" s="684"/>
      <c r="R395" s="1534"/>
      <c r="T395" s="1588"/>
      <c r="U395" s="1588"/>
      <c r="V395" s="1535"/>
      <c r="W395" s="1535"/>
      <c r="X395" s="1535"/>
      <c r="Y395" s="1835"/>
      <c r="Z395" s="1535"/>
      <c r="AA395" s="1535"/>
      <c r="AZ395" s="1893"/>
      <c r="BE395" s="1588"/>
      <c r="BF395" s="21"/>
      <c r="BG395" s="21"/>
      <c r="BH395" s="1536"/>
      <c r="BI395" s="1536"/>
      <c r="BJ395" s="436"/>
    </row>
    <row r="396" spans="14:62" s="20" customFormat="1" x14ac:dyDescent="0.2">
      <c r="N396" s="1607"/>
      <c r="Q396" s="684"/>
      <c r="R396" s="1534"/>
      <c r="T396" s="1588"/>
      <c r="U396" s="1588"/>
      <c r="V396" s="1535"/>
      <c r="W396" s="1535"/>
      <c r="X396" s="1535"/>
      <c r="Y396" s="1835"/>
      <c r="Z396" s="1535"/>
      <c r="AA396" s="1535"/>
      <c r="AZ396" s="1893"/>
      <c r="BE396" s="1588"/>
      <c r="BF396" s="21"/>
      <c r="BG396" s="21"/>
      <c r="BH396" s="1536"/>
      <c r="BI396" s="1536"/>
      <c r="BJ396" s="436"/>
    </row>
    <row r="397" spans="14:62" s="20" customFormat="1" x14ac:dyDescent="0.2">
      <c r="N397" s="1607"/>
      <c r="Q397" s="684"/>
      <c r="R397" s="1534"/>
      <c r="T397" s="1588"/>
      <c r="U397" s="1588"/>
      <c r="V397" s="1535"/>
      <c r="W397" s="1535"/>
      <c r="X397" s="1535"/>
      <c r="Y397" s="1835"/>
      <c r="Z397" s="1535"/>
      <c r="AA397" s="1535"/>
      <c r="AZ397" s="1893"/>
      <c r="BE397" s="1588"/>
      <c r="BF397" s="21"/>
      <c r="BG397" s="21"/>
      <c r="BH397" s="1536"/>
      <c r="BI397" s="1536"/>
      <c r="BJ397" s="436"/>
    </row>
    <row r="398" spans="14:62" s="20" customFormat="1" x14ac:dyDescent="0.2">
      <c r="N398" s="1607"/>
      <c r="Q398" s="684"/>
      <c r="R398" s="1534"/>
      <c r="T398" s="1588"/>
      <c r="U398" s="1588"/>
      <c r="V398" s="1535"/>
      <c r="W398" s="1535"/>
      <c r="X398" s="1535"/>
      <c r="Y398" s="1835"/>
      <c r="Z398" s="1535"/>
      <c r="AA398" s="1535"/>
      <c r="AZ398" s="1893"/>
      <c r="BE398" s="1588"/>
      <c r="BF398" s="21"/>
      <c r="BG398" s="21"/>
      <c r="BH398" s="1536"/>
      <c r="BI398" s="1536"/>
      <c r="BJ398" s="436"/>
    </row>
    <row r="399" spans="14:62" s="20" customFormat="1" x14ac:dyDescent="0.2">
      <c r="N399" s="1607"/>
      <c r="Q399" s="684"/>
      <c r="R399" s="1534"/>
      <c r="T399" s="1588"/>
      <c r="U399" s="1588"/>
      <c r="V399" s="1535"/>
      <c r="W399" s="1535"/>
      <c r="X399" s="1535"/>
      <c r="Y399" s="1835"/>
      <c r="Z399" s="1535"/>
      <c r="AA399" s="1535"/>
      <c r="AZ399" s="1893"/>
      <c r="BE399" s="1588"/>
      <c r="BF399" s="21"/>
      <c r="BG399" s="21"/>
      <c r="BH399" s="1536"/>
      <c r="BI399" s="1536"/>
      <c r="BJ399" s="436"/>
    </row>
    <row r="400" spans="14:62" s="20" customFormat="1" x14ac:dyDescent="0.2">
      <c r="N400" s="1607"/>
      <c r="Q400" s="684"/>
      <c r="R400" s="1534"/>
      <c r="T400" s="1588"/>
      <c r="U400" s="1588"/>
      <c r="V400" s="1535"/>
      <c r="W400" s="1535"/>
      <c r="X400" s="1535"/>
      <c r="Y400" s="1835"/>
      <c r="Z400" s="1535"/>
      <c r="AA400" s="1535"/>
      <c r="AZ400" s="1893"/>
      <c r="BE400" s="1588"/>
      <c r="BF400" s="21"/>
      <c r="BG400" s="21"/>
      <c r="BH400" s="1536"/>
      <c r="BI400" s="1536"/>
      <c r="BJ400" s="436"/>
    </row>
    <row r="401" spans="14:62" s="20" customFormat="1" x14ac:dyDescent="0.2">
      <c r="N401" s="1607"/>
      <c r="Q401" s="684"/>
      <c r="R401" s="1534"/>
      <c r="T401" s="1588"/>
      <c r="U401" s="1588"/>
      <c r="V401" s="1535"/>
      <c r="W401" s="1535"/>
      <c r="X401" s="1535"/>
      <c r="Y401" s="1835"/>
      <c r="Z401" s="1535"/>
      <c r="AA401" s="1535"/>
      <c r="AZ401" s="1893"/>
      <c r="BE401" s="1588"/>
      <c r="BF401" s="21"/>
      <c r="BG401" s="21"/>
      <c r="BH401" s="1536"/>
      <c r="BI401" s="1536"/>
      <c r="BJ401" s="436"/>
    </row>
    <row r="402" spans="14:62" s="20" customFormat="1" x14ac:dyDescent="0.2">
      <c r="N402" s="1607"/>
      <c r="Q402" s="684"/>
      <c r="R402" s="1534"/>
      <c r="T402" s="1588"/>
      <c r="U402" s="1588"/>
      <c r="V402" s="1535"/>
      <c r="W402" s="1535"/>
      <c r="X402" s="1535"/>
      <c r="Y402" s="1835"/>
      <c r="Z402" s="1535"/>
      <c r="AA402" s="1535"/>
      <c r="AZ402" s="1893"/>
      <c r="BE402" s="1588"/>
      <c r="BF402" s="21"/>
      <c r="BG402" s="21"/>
      <c r="BH402" s="1536"/>
      <c r="BI402" s="1536"/>
      <c r="BJ402" s="436"/>
    </row>
    <row r="403" spans="14:62" s="20" customFormat="1" x14ac:dyDescent="0.2">
      <c r="N403" s="1607"/>
      <c r="Q403" s="684"/>
      <c r="R403" s="1534"/>
      <c r="T403" s="1588"/>
      <c r="U403" s="1588"/>
      <c r="V403" s="1535"/>
      <c r="W403" s="1535"/>
      <c r="X403" s="1535"/>
      <c r="Y403" s="1835"/>
      <c r="Z403" s="1535"/>
      <c r="AA403" s="1535"/>
      <c r="AZ403" s="1893"/>
      <c r="BE403" s="1588"/>
      <c r="BF403" s="21"/>
      <c r="BG403" s="21"/>
      <c r="BH403" s="1536"/>
      <c r="BI403" s="1536"/>
      <c r="BJ403" s="436"/>
    </row>
    <row r="404" spans="14:62" s="20" customFormat="1" x14ac:dyDescent="0.2">
      <c r="N404" s="1607"/>
      <c r="Q404" s="684"/>
      <c r="R404" s="1534"/>
      <c r="T404" s="1588"/>
      <c r="U404" s="1588"/>
      <c r="V404" s="1535"/>
      <c r="W404" s="1535"/>
      <c r="X404" s="1535"/>
      <c r="Y404" s="1835"/>
      <c r="Z404" s="1535"/>
      <c r="AA404" s="1535"/>
      <c r="AZ404" s="1893"/>
      <c r="BE404" s="1588"/>
      <c r="BF404" s="21"/>
      <c r="BG404" s="21"/>
      <c r="BH404" s="1536"/>
      <c r="BI404" s="1536"/>
      <c r="BJ404" s="436"/>
    </row>
    <row r="405" spans="14:62" s="20" customFormat="1" x14ac:dyDescent="0.2">
      <c r="N405" s="1607"/>
      <c r="Q405" s="684"/>
      <c r="R405" s="1534"/>
      <c r="T405" s="1588"/>
      <c r="U405" s="1588"/>
      <c r="V405" s="1535"/>
      <c r="W405" s="1535"/>
      <c r="X405" s="1535"/>
      <c r="Y405" s="1835"/>
      <c r="Z405" s="1535"/>
      <c r="AA405" s="1535"/>
      <c r="AZ405" s="1893"/>
      <c r="BE405" s="1588"/>
      <c r="BF405" s="21"/>
      <c r="BG405" s="21"/>
      <c r="BH405" s="1536"/>
      <c r="BI405" s="1536"/>
      <c r="BJ405" s="436"/>
    </row>
    <row r="406" spans="14:62" s="20" customFormat="1" x14ac:dyDescent="0.2">
      <c r="N406" s="1607"/>
      <c r="Q406" s="684"/>
      <c r="R406" s="1534"/>
      <c r="T406" s="1588"/>
      <c r="U406" s="1588"/>
      <c r="V406" s="1535"/>
      <c r="W406" s="1535"/>
      <c r="X406" s="1535"/>
      <c r="Y406" s="1835"/>
      <c r="Z406" s="1535"/>
      <c r="AA406" s="1535"/>
      <c r="AZ406" s="1893"/>
      <c r="BE406" s="1588"/>
      <c r="BF406" s="21"/>
      <c r="BG406" s="21"/>
      <c r="BH406" s="1536"/>
      <c r="BI406" s="1536"/>
      <c r="BJ406" s="436"/>
    </row>
    <row r="407" spans="14:62" s="20" customFormat="1" x14ac:dyDescent="0.2">
      <c r="N407" s="1607"/>
      <c r="Q407" s="684"/>
      <c r="R407" s="1534"/>
      <c r="T407" s="1588"/>
      <c r="U407" s="1588"/>
      <c r="V407" s="1535"/>
      <c r="W407" s="1535"/>
      <c r="X407" s="1535"/>
      <c r="Y407" s="1835"/>
      <c r="Z407" s="1535"/>
      <c r="AA407" s="1535"/>
      <c r="AZ407" s="1893"/>
      <c r="BE407" s="1588"/>
      <c r="BF407" s="21"/>
      <c r="BG407" s="21"/>
      <c r="BH407" s="1536"/>
      <c r="BI407" s="1536"/>
      <c r="BJ407" s="436"/>
    </row>
    <row r="408" spans="14:62" s="20" customFormat="1" x14ac:dyDescent="0.2">
      <c r="N408" s="1607"/>
      <c r="Q408" s="684"/>
      <c r="R408" s="1534"/>
      <c r="T408" s="1588"/>
      <c r="U408" s="1588"/>
      <c r="V408" s="1535"/>
      <c r="W408" s="1535"/>
      <c r="X408" s="1535"/>
      <c r="Y408" s="1835"/>
      <c r="Z408" s="1535"/>
      <c r="AA408" s="1535"/>
      <c r="AZ408" s="1893"/>
      <c r="BE408" s="1588"/>
      <c r="BF408" s="21"/>
      <c r="BG408" s="21"/>
      <c r="BH408" s="1536"/>
      <c r="BI408" s="1536"/>
      <c r="BJ408" s="436"/>
    </row>
    <row r="409" spans="14:62" s="20" customFormat="1" x14ac:dyDescent="0.2">
      <c r="N409" s="1607"/>
      <c r="Q409" s="684"/>
      <c r="R409" s="1534"/>
      <c r="T409" s="1588"/>
      <c r="U409" s="1588"/>
      <c r="V409" s="1535"/>
      <c r="W409" s="1535"/>
      <c r="X409" s="1535"/>
      <c r="Y409" s="1835"/>
      <c r="Z409" s="1535"/>
      <c r="AA409" s="1535"/>
      <c r="AZ409" s="1893"/>
      <c r="BE409" s="1588"/>
      <c r="BF409" s="21"/>
      <c r="BG409" s="21"/>
      <c r="BH409" s="1536"/>
      <c r="BI409" s="1536"/>
      <c r="BJ409" s="436"/>
    </row>
    <row r="410" spans="14:62" s="20" customFormat="1" x14ac:dyDescent="0.2">
      <c r="N410" s="1607"/>
      <c r="Q410" s="684"/>
      <c r="R410" s="1534"/>
      <c r="T410" s="1588"/>
      <c r="U410" s="1588"/>
      <c r="V410" s="1535"/>
      <c r="W410" s="1535"/>
      <c r="X410" s="1535"/>
      <c r="Y410" s="1835"/>
      <c r="Z410" s="1535"/>
      <c r="AA410" s="1535"/>
      <c r="AZ410" s="1893"/>
      <c r="BE410" s="1588"/>
      <c r="BF410" s="21"/>
      <c r="BG410" s="21"/>
      <c r="BH410" s="1536"/>
      <c r="BI410" s="1536"/>
      <c r="BJ410" s="436"/>
    </row>
    <row r="411" spans="14:62" s="20" customFormat="1" x14ac:dyDescent="0.2">
      <c r="N411" s="1607"/>
      <c r="Q411" s="684"/>
      <c r="R411" s="1534"/>
      <c r="T411" s="1588"/>
      <c r="U411" s="1588"/>
      <c r="V411" s="1535"/>
      <c r="W411" s="1535"/>
      <c r="X411" s="1535"/>
      <c r="Y411" s="1835"/>
      <c r="Z411" s="1535"/>
      <c r="AA411" s="1535"/>
      <c r="AZ411" s="1893"/>
      <c r="BE411" s="1588"/>
      <c r="BF411" s="21"/>
      <c r="BG411" s="21"/>
      <c r="BH411" s="1536"/>
      <c r="BI411" s="1536"/>
      <c r="BJ411" s="436"/>
    </row>
    <row r="412" spans="14:62" s="20" customFormat="1" x14ac:dyDescent="0.2">
      <c r="N412" s="1607"/>
      <c r="Q412" s="684"/>
      <c r="R412" s="1534"/>
      <c r="T412" s="1588"/>
      <c r="U412" s="1588"/>
      <c r="V412" s="1535"/>
      <c r="W412" s="1535"/>
      <c r="X412" s="1535"/>
      <c r="Y412" s="1835"/>
      <c r="Z412" s="1535"/>
      <c r="AA412" s="1535"/>
      <c r="AZ412" s="1893"/>
      <c r="BE412" s="1588"/>
      <c r="BF412" s="21"/>
      <c r="BG412" s="21"/>
      <c r="BH412" s="1536"/>
      <c r="BI412" s="1536"/>
      <c r="BJ412" s="436"/>
    </row>
    <row r="413" spans="14:62" s="20" customFormat="1" x14ac:dyDescent="0.2">
      <c r="N413" s="1607"/>
      <c r="Q413" s="684"/>
      <c r="R413" s="1534"/>
      <c r="T413" s="1588"/>
      <c r="U413" s="1588"/>
      <c r="V413" s="1535"/>
      <c r="W413" s="1535"/>
      <c r="X413" s="1535"/>
      <c r="Y413" s="1835"/>
      <c r="Z413" s="1535"/>
      <c r="AA413" s="1535"/>
      <c r="AZ413" s="1893"/>
      <c r="BE413" s="1588"/>
      <c r="BF413" s="21"/>
      <c r="BG413" s="21"/>
      <c r="BH413" s="1536"/>
      <c r="BI413" s="1536"/>
      <c r="BJ413" s="436"/>
    </row>
    <row r="414" spans="14:62" s="20" customFormat="1" x14ac:dyDescent="0.2">
      <c r="N414" s="1607"/>
      <c r="Q414" s="684"/>
      <c r="R414" s="1534"/>
      <c r="T414" s="1588"/>
      <c r="U414" s="1588"/>
      <c r="V414" s="1535"/>
      <c r="W414" s="1535"/>
      <c r="X414" s="1535"/>
      <c r="Y414" s="1835"/>
      <c r="Z414" s="1535"/>
      <c r="AA414" s="1535"/>
      <c r="AZ414" s="1893"/>
      <c r="BE414" s="1588"/>
      <c r="BF414" s="21"/>
      <c r="BG414" s="21"/>
      <c r="BH414" s="1536"/>
      <c r="BI414" s="1536"/>
      <c r="BJ414" s="436"/>
    </row>
    <row r="415" spans="14:62" s="20" customFormat="1" x14ac:dyDescent="0.2">
      <c r="N415" s="1607"/>
      <c r="Q415" s="684"/>
      <c r="R415" s="1534"/>
      <c r="T415" s="1588"/>
      <c r="U415" s="1588"/>
      <c r="V415" s="1535"/>
      <c r="W415" s="1535"/>
      <c r="X415" s="1535"/>
      <c r="Y415" s="1835"/>
      <c r="Z415" s="1535"/>
      <c r="AA415" s="1535"/>
      <c r="AZ415" s="1893"/>
      <c r="BE415" s="1588"/>
      <c r="BF415" s="21"/>
      <c r="BG415" s="21"/>
      <c r="BH415" s="1536"/>
      <c r="BI415" s="1536"/>
      <c r="BJ415" s="436"/>
    </row>
    <row r="416" spans="14:62" s="20" customFormat="1" x14ac:dyDescent="0.2">
      <c r="N416" s="1607"/>
      <c r="Q416" s="684"/>
      <c r="R416" s="1534"/>
      <c r="T416" s="1588"/>
      <c r="U416" s="1588"/>
      <c r="V416" s="1535"/>
      <c r="W416" s="1535"/>
      <c r="X416" s="1535"/>
      <c r="Y416" s="1835"/>
      <c r="Z416" s="1535"/>
      <c r="AA416" s="1535"/>
      <c r="AZ416" s="1893"/>
      <c r="BE416" s="1588"/>
      <c r="BF416" s="21"/>
      <c r="BG416" s="21"/>
      <c r="BH416" s="1536"/>
      <c r="BI416" s="1536"/>
      <c r="BJ416" s="436"/>
    </row>
    <row r="417" spans="14:62" s="20" customFormat="1" x14ac:dyDescent="0.2">
      <c r="N417" s="1607"/>
      <c r="Q417" s="684"/>
      <c r="R417" s="1534"/>
      <c r="T417" s="1588"/>
      <c r="U417" s="1588"/>
      <c r="V417" s="1535"/>
      <c r="W417" s="1535"/>
      <c r="X417" s="1535"/>
      <c r="Y417" s="1835"/>
      <c r="Z417" s="1535"/>
      <c r="AA417" s="1535"/>
      <c r="AZ417" s="1893"/>
      <c r="BE417" s="1588"/>
      <c r="BF417" s="21"/>
      <c r="BG417" s="21"/>
      <c r="BH417" s="1536"/>
      <c r="BI417" s="1536"/>
      <c r="BJ417" s="436"/>
    </row>
    <row r="418" spans="14:62" s="20" customFormat="1" x14ac:dyDescent="0.2">
      <c r="N418" s="1607"/>
      <c r="Q418" s="684"/>
      <c r="R418" s="1534"/>
      <c r="T418" s="1588"/>
      <c r="U418" s="1588"/>
      <c r="V418" s="1535"/>
      <c r="W418" s="1535"/>
      <c r="X418" s="1535"/>
      <c r="Y418" s="1835"/>
      <c r="Z418" s="1535"/>
      <c r="AA418" s="1535"/>
      <c r="AZ418" s="1893"/>
      <c r="BE418" s="1588"/>
      <c r="BF418" s="21"/>
      <c r="BG418" s="21"/>
      <c r="BH418" s="1536"/>
      <c r="BI418" s="1536"/>
      <c r="BJ418" s="436"/>
    </row>
    <row r="419" spans="14:62" s="20" customFormat="1" x14ac:dyDescent="0.2">
      <c r="N419" s="1607"/>
      <c r="Q419" s="684"/>
      <c r="R419" s="1534"/>
      <c r="T419" s="1588"/>
      <c r="U419" s="1588"/>
      <c r="V419" s="1535"/>
      <c r="W419" s="1535"/>
      <c r="X419" s="1535"/>
      <c r="Y419" s="1835"/>
      <c r="Z419" s="1535"/>
      <c r="AA419" s="1535"/>
      <c r="AZ419" s="1893"/>
      <c r="BE419" s="1588"/>
      <c r="BF419" s="21"/>
      <c r="BG419" s="21"/>
      <c r="BH419" s="1536"/>
      <c r="BI419" s="1536"/>
      <c r="BJ419" s="436"/>
    </row>
    <row r="420" spans="14:62" s="20" customFormat="1" x14ac:dyDescent="0.2">
      <c r="N420" s="1607"/>
      <c r="Q420" s="684"/>
      <c r="R420" s="1534"/>
      <c r="T420" s="1588"/>
      <c r="U420" s="1588"/>
      <c r="V420" s="1535"/>
      <c r="W420" s="1535"/>
      <c r="X420" s="1535"/>
      <c r="Y420" s="1835"/>
      <c r="Z420" s="1535"/>
      <c r="AA420" s="1535"/>
      <c r="AZ420" s="1893"/>
      <c r="BE420" s="1588"/>
      <c r="BF420" s="21"/>
      <c r="BG420" s="21"/>
      <c r="BH420" s="1536"/>
      <c r="BI420" s="1536"/>
      <c r="BJ420" s="436"/>
    </row>
    <row r="421" spans="14:62" s="20" customFormat="1" x14ac:dyDescent="0.2">
      <c r="N421" s="1607"/>
      <c r="Q421" s="684"/>
      <c r="R421" s="1534"/>
      <c r="T421" s="1588"/>
      <c r="U421" s="1588"/>
      <c r="V421" s="1535"/>
      <c r="W421" s="1535"/>
      <c r="X421" s="1535"/>
      <c r="Y421" s="1835"/>
      <c r="Z421" s="1535"/>
      <c r="AA421" s="1535"/>
      <c r="AZ421" s="1893"/>
      <c r="BE421" s="1588"/>
      <c r="BF421" s="21"/>
      <c r="BG421" s="21"/>
      <c r="BH421" s="1536"/>
      <c r="BI421" s="1536"/>
      <c r="BJ421" s="436"/>
    </row>
    <row r="422" spans="14:62" s="20" customFormat="1" x14ac:dyDescent="0.2">
      <c r="N422" s="1607"/>
      <c r="Q422" s="684"/>
      <c r="R422" s="1534"/>
      <c r="T422" s="1588"/>
      <c r="U422" s="1588"/>
      <c r="V422" s="1535"/>
      <c r="W422" s="1535"/>
      <c r="X422" s="1535"/>
      <c r="Y422" s="1835"/>
      <c r="Z422" s="1535"/>
      <c r="AA422" s="1535"/>
      <c r="AZ422" s="1893"/>
      <c r="BE422" s="1588"/>
      <c r="BF422" s="21"/>
      <c r="BG422" s="21"/>
      <c r="BH422" s="1536"/>
      <c r="BI422" s="1536"/>
      <c r="BJ422" s="436"/>
    </row>
    <row r="423" spans="14:62" s="20" customFormat="1" x14ac:dyDescent="0.2">
      <c r="N423" s="1607"/>
      <c r="Q423" s="684"/>
      <c r="R423" s="1534"/>
      <c r="T423" s="1588"/>
      <c r="U423" s="1588"/>
      <c r="V423" s="1535"/>
      <c r="W423" s="1535"/>
      <c r="X423" s="1535"/>
      <c r="Y423" s="1835"/>
      <c r="Z423" s="1535"/>
      <c r="AA423" s="1535"/>
      <c r="AZ423" s="1893"/>
      <c r="BE423" s="1588"/>
      <c r="BF423" s="21"/>
      <c r="BG423" s="21"/>
      <c r="BH423" s="1536"/>
      <c r="BI423" s="1536"/>
      <c r="BJ423" s="436"/>
    </row>
    <row r="424" spans="14:62" s="20" customFormat="1" x14ac:dyDescent="0.2">
      <c r="N424" s="1607"/>
      <c r="Q424" s="684"/>
      <c r="R424" s="1534"/>
      <c r="T424" s="1588"/>
      <c r="U424" s="1588"/>
      <c r="V424" s="1535"/>
      <c r="W424" s="1535"/>
      <c r="X424" s="1535"/>
      <c r="Y424" s="1835"/>
      <c r="Z424" s="1535"/>
      <c r="AA424" s="1535"/>
      <c r="AZ424" s="1893"/>
      <c r="BE424" s="1588"/>
      <c r="BF424" s="21"/>
      <c r="BG424" s="21"/>
      <c r="BH424" s="1536"/>
      <c r="BI424" s="1536"/>
      <c r="BJ424" s="436"/>
    </row>
    <row r="425" spans="14:62" s="20" customFormat="1" x14ac:dyDescent="0.2">
      <c r="N425" s="1607"/>
      <c r="Q425" s="684"/>
      <c r="R425" s="1534"/>
      <c r="T425" s="1588"/>
      <c r="U425" s="1588"/>
      <c r="V425" s="1535"/>
      <c r="W425" s="1535"/>
      <c r="X425" s="1535"/>
      <c r="Y425" s="1835"/>
      <c r="Z425" s="1535"/>
      <c r="AA425" s="1535"/>
      <c r="AZ425" s="1893"/>
      <c r="BE425" s="1588"/>
      <c r="BF425" s="21"/>
      <c r="BG425" s="21"/>
      <c r="BH425" s="1536"/>
      <c r="BI425" s="1536"/>
      <c r="BJ425" s="436"/>
    </row>
    <row r="426" spans="14:62" s="20" customFormat="1" x14ac:dyDescent="0.2">
      <c r="N426" s="1607"/>
      <c r="Q426" s="684"/>
      <c r="R426" s="1534"/>
      <c r="T426" s="1588"/>
      <c r="U426" s="1588"/>
      <c r="V426" s="1535"/>
      <c r="W426" s="1535"/>
      <c r="X426" s="1535"/>
      <c r="Y426" s="1835"/>
      <c r="Z426" s="1535"/>
      <c r="AA426" s="1535"/>
      <c r="AZ426" s="1893"/>
      <c r="BE426" s="1588"/>
      <c r="BF426" s="21"/>
      <c r="BG426" s="21"/>
      <c r="BH426" s="1536"/>
      <c r="BI426" s="1536"/>
      <c r="BJ426" s="436"/>
    </row>
    <row r="427" spans="14:62" s="20" customFormat="1" x14ac:dyDescent="0.2">
      <c r="N427" s="1607"/>
      <c r="Q427" s="684"/>
      <c r="R427" s="1534"/>
      <c r="T427" s="1588"/>
      <c r="U427" s="1588"/>
      <c r="V427" s="1535"/>
      <c r="W427" s="1535"/>
      <c r="X427" s="1535"/>
      <c r="Y427" s="1835"/>
      <c r="Z427" s="1535"/>
      <c r="AA427" s="1535"/>
      <c r="AZ427" s="1893"/>
      <c r="BE427" s="1588"/>
      <c r="BF427" s="21"/>
      <c r="BG427" s="21"/>
      <c r="BH427" s="1536"/>
      <c r="BI427" s="1536"/>
      <c r="BJ427" s="436"/>
    </row>
    <row r="428" spans="14:62" s="20" customFormat="1" x14ac:dyDescent="0.2">
      <c r="N428" s="1607"/>
      <c r="Q428" s="684"/>
      <c r="R428" s="1534"/>
      <c r="T428" s="1588"/>
      <c r="U428" s="1588"/>
      <c r="V428" s="1535"/>
      <c r="W428" s="1535"/>
      <c r="X428" s="1535"/>
      <c r="Y428" s="1835"/>
      <c r="Z428" s="1535"/>
      <c r="AA428" s="1535"/>
      <c r="AZ428" s="1893"/>
      <c r="BE428" s="1588"/>
      <c r="BF428" s="21"/>
      <c r="BG428" s="21"/>
      <c r="BH428" s="1536"/>
      <c r="BI428" s="1536"/>
      <c r="BJ428" s="436"/>
    </row>
    <row r="429" spans="14:62" s="20" customFormat="1" x14ac:dyDescent="0.2">
      <c r="N429" s="1607"/>
      <c r="Q429" s="684"/>
      <c r="R429" s="1534"/>
      <c r="T429" s="1588"/>
      <c r="U429" s="1588"/>
      <c r="V429" s="1535"/>
      <c r="W429" s="1535"/>
      <c r="X429" s="1535"/>
      <c r="Y429" s="1835"/>
      <c r="Z429" s="1535"/>
      <c r="AA429" s="1535"/>
      <c r="AZ429" s="1893"/>
      <c r="BE429" s="1588"/>
      <c r="BF429" s="21"/>
      <c r="BG429" s="21"/>
      <c r="BH429" s="1536"/>
      <c r="BI429" s="1536"/>
      <c r="BJ429" s="436"/>
    </row>
    <row r="430" spans="14:62" s="20" customFormat="1" x14ac:dyDescent="0.2">
      <c r="N430" s="1607"/>
      <c r="Q430" s="684"/>
      <c r="R430" s="1534"/>
      <c r="T430" s="1588"/>
      <c r="U430" s="1588"/>
      <c r="V430" s="1535"/>
      <c r="W430" s="1535"/>
      <c r="X430" s="1535"/>
      <c r="Y430" s="1835"/>
      <c r="Z430" s="1535"/>
      <c r="AA430" s="1535"/>
      <c r="AZ430" s="1893"/>
      <c r="BE430" s="1588"/>
      <c r="BF430" s="21"/>
      <c r="BG430" s="21"/>
      <c r="BH430" s="1536"/>
      <c r="BI430" s="1536"/>
      <c r="BJ430" s="436"/>
    </row>
    <row r="431" spans="14:62" s="20" customFormat="1" x14ac:dyDescent="0.2">
      <c r="N431" s="1607"/>
      <c r="Q431" s="684"/>
      <c r="R431" s="1534"/>
      <c r="T431" s="1588"/>
      <c r="U431" s="1588"/>
      <c r="V431" s="1535"/>
      <c r="W431" s="1535"/>
      <c r="X431" s="1535"/>
      <c r="Y431" s="1835"/>
      <c r="Z431" s="1535"/>
      <c r="AA431" s="1535"/>
      <c r="AZ431" s="1893"/>
      <c r="BE431" s="1588"/>
      <c r="BF431" s="21"/>
      <c r="BG431" s="21"/>
      <c r="BH431" s="1536"/>
      <c r="BI431" s="1536"/>
      <c r="BJ431" s="436"/>
    </row>
    <row r="432" spans="14:62" s="20" customFormat="1" x14ac:dyDescent="0.2">
      <c r="N432" s="1607"/>
      <c r="Q432" s="684"/>
      <c r="R432" s="1534"/>
      <c r="T432" s="1588"/>
      <c r="U432" s="1588"/>
      <c r="V432" s="1535"/>
      <c r="W432" s="1535"/>
      <c r="X432" s="1535"/>
      <c r="Y432" s="1835"/>
      <c r="Z432" s="1535"/>
      <c r="AA432" s="1535"/>
      <c r="AZ432" s="1893"/>
      <c r="BE432" s="1588"/>
      <c r="BF432" s="21"/>
      <c r="BG432" s="21"/>
      <c r="BH432" s="1536"/>
      <c r="BI432" s="1536"/>
      <c r="BJ432" s="436"/>
    </row>
    <row r="433" spans="14:62" s="20" customFormat="1" x14ac:dyDescent="0.2">
      <c r="N433" s="1607"/>
      <c r="Q433" s="684"/>
      <c r="R433" s="1534"/>
      <c r="T433" s="1588"/>
      <c r="U433" s="1588"/>
      <c r="V433" s="1535"/>
      <c r="W433" s="1535"/>
      <c r="X433" s="1535"/>
      <c r="Y433" s="1835"/>
      <c r="Z433" s="1535"/>
      <c r="AA433" s="1535"/>
      <c r="AZ433" s="1893"/>
      <c r="BE433" s="1588"/>
      <c r="BF433" s="21"/>
      <c r="BG433" s="21"/>
      <c r="BH433" s="1536"/>
      <c r="BI433" s="1536"/>
      <c r="BJ433" s="436"/>
    </row>
    <row r="434" spans="14:62" s="20" customFormat="1" x14ac:dyDescent="0.2">
      <c r="N434" s="1607"/>
      <c r="Q434" s="684"/>
      <c r="R434" s="1534"/>
      <c r="T434" s="1588"/>
      <c r="U434" s="1588"/>
      <c r="V434" s="1535"/>
      <c r="W434" s="1535"/>
      <c r="X434" s="1535"/>
      <c r="Y434" s="1835"/>
      <c r="Z434" s="1535"/>
      <c r="AA434" s="1535"/>
      <c r="AZ434" s="1893"/>
      <c r="BE434" s="1588"/>
      <c r="BF434" s="21"/>
      <c r="BG434" s="21"/>
      <c r="BH434" s="1536"/>
      <c r="BI434" s="1536"/>
      <c r="BJ434" s="436"/>
    </row>
    <row r="435" spans="14:62" s="20" customFormat="1" x14ac:dyDescent="0.2">
      <c r="N435" s="1607"/>
      <c r="Q435" s="684"/>
      <c r="R435" s="1534"/>
      <c r="T435" s="1588"/>
      <c r="U435" s="1588"/>
      <c r="V435" s="1535"/>
      <c r="W435" s="1535"/>
      <c r="X435" s="1535"/>
      <c r="Y435" s="1835"/>
      <c r="Z435" s="1535"/>
      <c r="AA435" s="1535"/>
      <c r="AZ435" s="1893"/>
      <c r="BE435" s="1588"/>
      <c r="BF435" s="21"/>
      <c r="BG435" s="21"/>
      <c r="BH435" s="1536"/>
      <c r="BI435" s="1536"/>
      <c r="BJ435" s="436"/>
    </row>
    <row r="436" spans="14:62" s="20" customFormat="1" x14ac:dyDescent="0.2">
      <c r="N436" s="1607"/>
      <c r="Q436" s="684"/>
      <c r="R436" s="1534"/>
      <c r="T436" s="1588"/>
      <c r="U436" s="1588"/>
      <c r="V436" s="1535"/>
      <c r="W436" s="1535"/>
      <c r="X436" s="1535"/>
      <c r="Y436" s="1835"/>
      <c r="Z436" s="1535"/>
      <c r="AA436" s="1535"/>
      <c r="AZ436" s="1893"/>
      <c r="BE436" s="1588"/>
      <c r="BF436" s="21"/>
      <c r="BG436" s="21"/>
      <c r="BH436" s="1536"/>
      <c r="BI436" s="1536"/>
      <c r="BJ436" s="436"/>
    </row>
    <row r="437" spans="14:62" s="20" customFormat="1" x14ac:dyDescent="0.2">
      <c r="N437" s="1607"/>
      <c r="Q437" s="684"/>
      <c r="R437" s="1534"/>
      <c r="T437" s="1588"/>
      <c r="U437" s="1588"/>
      <c r="V437" s="1535"/>
      <c r="W437" s="1535"/>
      <c r="X437" s="1535"/>
      <c r="Y437" s="1835"/>
      <c r="Z437" s="1535"/>
      <c r="AA437" s="1535"/>
      <c r="AZ437" s="1893"/>
      <c r="BE437" s="1588"/>
      <c r="BF437" s="21"/>
      <c r="BG437" s="21"/>
      <c r="BH437" s="1536"/>
      <c r="BI437" s="1536"/>
      <c r="BJ437" s="436"/>
    </row>
    <row r="438" spans="14:62" s="20" customFormat="1" x14ac:dyDescent="0.2">
      <c r="N438" s="1607"/>
      <c r="Q438" s="684"/>
      <c r="R438" s="1534"/>
      <c r="T438" s="1588"/>
      <c r="U438" s="1588"/>
      <c r="V438" s="1535"/>
      <c r="W438" s="1535"/>
      <c r="X438" s="1535"/>
      <c r="Y438" s="1835"/>
      <c r="Z438" s="1535"/>
      <c r="AA438" s="1535"/>
      <c r="AZ438" s="1893"/>
      <c r="BE438" s="1588"/>
      <c r="BF438" s="21"/>
      <c r="BG438" s="21"/>
      <c r="BH438" s="1536"/>
      <c r="BI438" s="1536"/>
      <c r="BJ438" s="436"/>
    </row>
    <row r="439" spans="14:62" s="20" customFormat="1" x14ac:dyDescent="0.2">
      <c r="N439" s="1607"/>
      <c r="Q439" s="684"/>
      <c r="R439" s="1534"/>
      <c r="T439" s="1588"/>
      <c r="U439" s="1588"/>
      <c r="V439" s="1535"/>
      <c r="W439" s="1535"/>
      <c r="X439" s="1535"/>
      <c r="Y439" s="1835"/>
      <c r="Z439" s="1535"/>
      <c r="AA439" s="1535"/>
      <c r="AZ439" s="1893"/>
      <c r="BE439" s="1588"/>
      <c r="BF439" s="21"/>
      <c r="BG439" s="21"/>
      <c r="BH439" s="1536"/>
      <c r="BI439" s="1536"/>
      <c r="BJ439" s="436"/>
    </row>
    <row r="440" spans="14:62" s="20" customFormat="1" x14ac:dyDescent="0.2">
      <c r="N440" s="1607"/>
      <c r="Q440" s="684"/>
      <c r="R440" s="1534"/>
      <c r="T440" s="1588"/>
      <c r="U440" s="1588"/>
      <c r="V440" s="1535"/>
      <c r="W440" s="1535"/>
      <c r="X440" s="1535"/>
      <c r="Y440" s="1835"/>
      <c r="Z440" s="1535"/>
      <c r="AA440" s="1535"/>
      <c r="AZ440" s="1893"/>
      <c r="BE440" s="1588"/>
      <c r="BF440" s="21"/>
      <c r="BG440" s="21"/>
      <c r="BH440" s="1536"/>
      <c r="BI440" s="1536"/>
      <c r="BJ440" s="436"/>
    </row>
    <row r="441" spans="14:62" s="20" customFormat="1" x14ac:dyDescent="0.2">
      <c r="N441" s="1607"/>
      <c r="Q441" s="684"/>
      <c r="R441" s="1534"/>
      <c r="T441" s="1588"/>
      <c r="U441" s="1588"/>
      <c r="V441" s="1535"/>
      <c r="W441" s="1535"/>
      <c r="X441" s="1535"/>
      <c r="Y441" s="1835"/>
      <c r="Z441" s="1535"/>
      <c r="AA441" s="1535"/>
      <c r="AZ441" s="1893"/>
      <c r="BE441" s="1588"/>
      <c r="BF441" s="21"/>
      <c r="BG441" s="21"/>
      <c r="BH441" s="1536"/>
      <c r="BI441" s="1536"/>
      <c r="BJ441" s="436"/>
    </row>
    <row r="442" spans="14:62" s="20" customFormat="1" x14ac:dyDescent="0.2">
      <c r="N442" s="1607"/>
      <c r="Q442" s="684"/>
      <c r="R442" s="1534"/>
      <c r="T442" s="1588"/>
      <c r="U442" s="1588"/>
      <c r="V442" s="1535"/>
      <c r="W442" s="1535"/>
      <c r="X442" s="1535"/>
      <c r="Y442" s="1835"/>
      <c r="Z442" s="1535"/>
      <c r="AA442" s="1535"/>
      <c r="AZ442" s="1893"/>
      <c r="BE442" s="1588"/>
      <c r="BF442" s="21"/>
      <c r="BG442" s="21"/>
      <c r="BH442" s="1536"/>
      <c r="BI442" s="1536"/>
      <c r="BJ442" s="436"/>
    </row>
    <row r="443" spans="14:62" s="20" customFormat="1" x14ac:dyDescent="0.2">
      <c r="N443" s="1607"/>
      <c r="Q443" s="684"/>
      <c r="R443" s="1534"/>
      <c r="T443" s="1588"/>
      <c r="U443" s="1588"/>
      <c r="V443" s="1535"/>
      <c r="W443" s="1535"/>
      <c r="X443" s="1535"/>
      <c r="Y443" s="1835"/>
      <c r="Z443" s="1535"/>
      <c r="AA443" s="1535"/>
      <c r="AZ443" s="1893"/>
      <c r="BE443" s="1588"/>
      <c r="BF443" s="21"/>
      <c r="BG443" s="21"/>
      <c r="BH443" s="1536"/>
      <c r="BI443" s="1536"/>
      <c r="BJ443" s="436"/>
    </row>
    <row r="444" spans="14:62" s="20" customFormat="1" x14ac:dyDescent="0.2">
      <c r="N444" s="1607"/>
      <c r="Q444" s="684"/>
      <c r="R444" s="1534"/>
      <c r="T444" s="1588"/>
      <c r="U444" s="1588"/>
      <c r="V444" s="1535"/>
      <c r="W444" s="1535"/>
      <c r="X444" s="1535"/>
      <c r="Y444" s="1835"/>
      <c r="Z444" s="1535"/>
      <c r="AA444" s="1535"/>
      <c r="AZ444" s="1893"/>
      <c r="BE444" s="1588"/>
      <c r="BF444" s="21"/>
      <c r="BG444" s="21"/>
      <c r="BH444" s="1536"/>
      <c r="BI444" s="1536"/>
      <c r="BJ444" s="436"/>
    </row>
    <row r="445" spans="14:62" s="20" customFormat="1" x14ac:dyDescent="0.2">
      <c r="N445" s="1607"/>
      <c r="Q445" s="684"/>
      <c r="R445" s="1534"/>
      <c r="T445" s="1588"/>
      <c r="U445" s="1588"/>
      <c r="V445" s="1535"/>
      <c r="W445" s="1535"/>
      <c r="X445" s="1535"/>
      <c r="Y445" s="1835"/>
      <c r="Z445" s="1535"/>
      <c r="AA445" s="1535"/>
      <c r="AZ445" s="1893"/>
      <c r="BE445" s="1588"/>
      <c r="BF445" s="21"/>
      <c r="BG445" s="21"/>
      <c r="BH445" s="1536"/>
      <c r="BI445" s="1536"/>
      <c r="BJ445" s="436"/>
    </row>
    <row r="446" spans="14:62" s="20" customFormat="1" x14ac:dyDescent="0.2">
      <c r="N446" s="1607"/>
      <c r="Q446" s="684"/>
      <c r="R446" s="1534"/>
      <c r="T446" s="1588"/>
      <c r="U446" s="1588"/>
      <c r="V446" s="1535"/>
      <c r="W446" s="1535"/>
      <c r="X446" s="1535"/>
      <c r="Y446" s="1835"/>
      <c r="Z446" s="1535"/>
      <c r="AA446" s="1535"/>
      <c r="AZ446" s="1893"/>
      <c r="BE446" s="1588"/>
      <c r="BF446" s="21"/>
      <c r="BG446" s="21"/>
      <c r="BH446" s="1536"/>
      <c r="BI446" s="1536"/>
      <c r="BJ446" s="436"/>
    </row>
    <row r="447" spans="14:62" s="20" customFormat="1" x14ac:dyDescent="0.2">
      <c r="N447" s="1607"/>
      <c r="Q447" s="684"/>
      <c r="R447" s="1534"/>
      <c r="T447" s="1588"/>
      <c r="U447" s="1588"/>
      <c r="V447" s="1535"/>
      <c r="W447" s="1535"/>
      <c r="X447" s="1535"/>
      <c r="Y447" s="1835"/>
      <c r="Z447" s="1535"/>
      <c r="AA447" s="1535"/>
      <c r="AZ447" s="1893"/>
      <c r="BE447" s="1588"/>
      <c r="BF447" s="21"/>
      <c r="BG447" s="21"/>
      <c r="BH447" s="1536"/>
      <c r="BI447" s="1536"/>
      <c r="BJ447" s="436"/>
    </row>
    <row r="448" spans="14:62" s="20" customFormat="1" x14ac:dyDescent="0.2">
      <c r="N448" s="1607"/>
      <c r="Q448" s="684"/>
      <c r="R448" s="1534"/>
      <c r="T448" s="1588"/>
      <c r="U448" s="1588"/>
      <c r="V448" s="1535"/>
      <c r="W448" s="1535"/>
      <c r="X448" s="1535"/>
      <c r="Y448" s="1835"/>
      <c r="Z448" s="1535"/>
      <c r="AA448" s="1535"/>
      <c r="AZ448" s="1893"/>
      <c r="BE448" s="1588"/>
      <c r="BF448" s="21"/>
      <c r="BG448" s="21"/>
      <c r="BH448" s="1536"/>
      <c r="BI448" s="1536"/>
      <c r="BJ448" s="436"/>
    </row>
    <row r="449" spans="14:62" s="20" customFormat="1" x14ac:dyDescent="0.2">
      <c r="N449" s="1607"/>
      <c r="Q449" s="684"/>
      <c r="R449" s="1534"/>
      <c r="T449" s="1588"/>
      <c r="U449" s="1588"/>
      <c r="V449" s="1535"/>
      <c r="W449" s="1535"/>
      <c r="X449" s="1535"/>
      <c r="Y449" s="1835"/>
      <c r="Z449" s="1535"/>
      <c r="AA449" s="1535"/>
      <c r="AZ449" s="1893"/>
      <c r="BE449" s="1588"/>
      <c r="BF449" s="21"/>
      <c r="BG449" s="21"/>
      <c r="BH449" s="1536"/>
      <c r="BI449" s="1536"/>
      <c r="BJ449" s="436"/>
    </row>
    <row r="450" spans="14:62" s="20" customFormat="1" x14ac:dyDescent="0.2">
      <c r="N450" s="1607"/>
      <c r="Q450" s="684"/>
      <c r="R450" s="1534"/>
      <c r="T450" s="1588"/>
      <c r="U450" s="1588"/>
      <c r="V450" s="1535"/>
      <c r="W450" s="1535"/>
      <c r="X450" s="1535"/>
      <c r="Y450" s="1835"/>
      <c r="Z450" s="1535"/>
      <c r="AA450" s="1535"/>
      <c r="AZ450" s="1893"/>
      <c r="BE450" s="1588"/>
      <c r="BF450" s="21"/>
      <c r="BG450" s="21"/>
      <c r="BH450" s="1536"/>
      <c r="BI450" s="1536"/>
      <c r="BJ450" s="436"/>
    </row>
    <row r="451" spans="14:62" s="20" customFormat="1" x14ac:dyDescent="0.2">
      <c r="N451" s="1607"/>
      <c r="Q451" s="684"/>
      <c r="R451" s="1534"/>
      <c r="T451" s="1588"/>
      <c r="U451" s="1588"/>
      <c r="V451" s="1535"/>
      <c r="W451" s="1535"/>
      <c r="X451" s="1535"/>
      <c r="Y451" s="1835"/>
      <c r="Z451" s="1535"/>
      <c r="AA451" s="1535"/>
      <c r="AZ451" s="1893"/>
      <c r="BE451" s="1588"/>
      <c r="BF451" s="21"/>
      <c r="BG451" s="21"/>
      <c r="BH451" s="1536"/>
      <c r="BI451" s="1536"/>
      <c r="BJ451" s="436"/>
    </row>
    <row r="452" spans="14:62" s="20" customFormat="1" x14ac:dyDescent="0.2">
      <c r="N452" s="1607"/>
      <c r="Q452" s="684"/>
      <c r="R452" s="1534"/>
      <c r="T452" s="1588"/>
      <c r="U452" s="1588"/>
      <c r="V452" s="1535"/>
      <c r="W452" s="1535"/>
      <c r="X452" s="1535"/>
      <c r="Y452" s="1835"/>
      <c r="Z452" s="1535"/>
      <c r="AA452" s="1535"/>
      <c r="AZ452" s="1893"/>
      <c r="BE452" s="1588"/>
      <c r="BF452" s="21"/>
      <c r="BG452" s="21"/>
      <c r="BH452" s="1536"/>
      <c r="BI452" s="1536"/>
      <c r="BJ452" s="436"/>
    </row>
    <row r="453" spans="14:62" s="20" customFormat="1" x14ac:dyDescent="0.2">
      <c r="N453" s="1607"/>
      <c r="Q453" s="684"/>
      <c r="R453" s="1534"/>
      <c r="T453" s="1588"/>
      <c r="U453" s="1588"/>
      <c r="V453" s="1535"/>
      <c r="W453" s="1535"/>
      <c r="X453" s="1535"/>
      <c r="Y453" s="1835"/>
      <c r="Z453" s="1535"/>
      <c r="AA453" s="1535"/>
      <c r="AZ453" s="1893"/>
      <c r="BE453" s="1588"/>
      <c r="BF453" s="21"/>
      <c r="BG453" s="21"/>
      <c r="BH453" s="1536"/>
      <c r="BI453" s="1536"/>
      <c r="BJ453" s="436"/>
    </row>
    <row r="454" spans="14:62" s="20" customFormat="1" x14ac:dyDescent="0.2">
      <c r="N454" s="1607"/>
      <c r="Q454" s="684"/>
      <c r="R454" s="1534"/>
      <c r="T454" s="1588"/>
      <c r="U454" s="1588"/>
      <c r="V454" s="1535"/>
      <c r="W454" s="1535"/>
      <c r="X454" s="1535"/>
      <c r="Y454" s="1835"/>
      <c r="Z454" s="1535"/>
      <c r="AA454" s="1535"/>
      <c r="AZ454" s="1893"/>
      <c r="BE454" s="1588"/>
      <c r="BF454" s="21"/>
      <c r="BG454" s="21"/>
      <c r="BH454" s="1536"/>
      <c r="BI454" s="1536"/>
      <c r="BJ454" s="436"/>
    </row>
    <row r="455" spans="14:62" s="20" customFormat="1" x14ac:dyDescent="0.2">
      <c r="N455" s="1607"/>
      <c r="Q455" s="684"/>
      <c r="R455" s="1534"/>
      <c r="T455" s="1588"/>
      <c r="U455" s="1588"/>
      <c r="V455" s="1535"/>
      <c r="W455" s="1535"/>
      <c r="X455" s="1535"/>
      <c r="Y455" s="1835"/>
      <c r="Z455" s="1535"/>
      <c r="AA455" s="1535"/>
      <c r="AZ455" s="1893"/>
      <c r="BE455" s="1588"/>
      <c r="BF455" s="21"/>
      <c r="BG455" s="21"/>
      <c r="BH455" s="1536"/>
      <c r="BI455" s="1536"/>
      <c r="BJ455" s="436"/>
    </row>
    <row r="456" spans="14:62" s="20" customFormat="1" x14ac:dyDescent="0.2">
      <c r="N456" s="1607"/>
      <c r="Q456" s="684"/>
      <c r="R456" s="1534"/>
      <c r="T456" s="1588"/>
      <c r="U456" s="1588"/>
      <c r="V456" s="1535"/>
      <c r="W456" s="1535"/>
      <c r="X456" s="1535"/>
      <c r="Y456" s="1835"/>
      <c r="Z456" s="1535"/>
      <c r="AA456" s="1535"/>
      <c r="AZ456" s="1893"/>
      <c r="BE456" s="1588"/>
      <c r="BF456" s="21"/>
      <c r="BG456" s="21"/>
      <c r="BH456" s="1536"/>
      <c r="BI456" s="1536"/>
      <c r="BJ456" s="436"/>
    </row>
    <row r="457" spans="14:62" s="20" customFormat="1" x14ac:dyDescent="0.2">
      <c r="N457" s="1607"/>
      <c r="Q457" s="684"/>
      <c r="R457" s="1534"/>
      <c r="T457" s="1588"/>
      <c r="U457" s="1588"/>
      <c r="V457" s="1535"/>
      <c r="W457" s="1535"/>
      <c r="X457" s="1535"/>
      <c r="Y457" s="1835"/>
      <c r="Z457" s="1535"/>
      <c r="AA457" s="1535"/>
      <c r="AZ457" s="1893"/>
      <c r="BE457" s="1588"/>
      <c r="BF457" s="21"/>
      <c r="BG457" s="21"/>
      <c r="BH457" s="1536"/>
      <c r="BI457" s="1536"/>
      <c r="BJ457" s="436"/>
    </row>
    <row r="458" spans="14:62" s="20" customFormat="1" x14ac:dyDescent="0.2">
      <c r="N458" s="1607"/>
      <c r="Q458" s="684"/>
      <c r="R458" s="1534"/>
      <c r="T458" s="1588"/>
      <c r="U458" s="1588"/>
      <c r="V458" s="1535"/>
      <c r="W458" s="1535"/>
      <c r="X458" s="1535"/>
      <c r="Y458" s="1835"/>
      <c r="Z458" s="1535"/>
      <c r="AA458" s="1535"/>
      <c r="AZ458" s="1893"/>
      <c r="BE458" s="1588"/>
      <c r="BF458" s="21"/>
      <c r="BG458" s="21"/>
      <c r="BH458" s="1536"/>
      <c r="BI458" s="1536"/>
      <c r="BJ458" s="436"/>
    </row>
    <row r="459" spans="14:62" s="20" customFormat="1" x14ac:dyDescent="0.2">
      <c r="N459" s="1607"/>
      <c r="Q459" s="684"/>
      <c r="R459" s="1534"/>
      <c r="T459" s="1588"/>
      <c r="U459" s="1588"/>
      <c r="V459" s="1535"/>
      <c r="W459" s="1535"/>
      <c r="X459" s="1535"/>
      <c r="Y459" s="1835"/>
      <c r="Z459" s="1535"/>
      <c r="AA459" s="1535"/>
      <c r="AZ459" s="1893"/>
      <c r="BE459" s="1588"/>
      <c r="BF459" s="21"/>
      <c r="BG459" s="21"/>
      <c r="BH459" s="1536"/>
      <c r="BI459" s="1536"/>
      <c r="BJ459" s="436"/>
    </row>
    <row r="460" spans="14:62" s="20" customFormat="1" x14ac:dyDescent="0.2">
      <c r="N460" s="1607"/>
      <c r="Q460" s="684"/>
      <c r="R460" s="1534"/>
      <c r="T460" s="1588"/>
      <c r="U460" s="1588"/>
      <c r="V460" s="1535"/>
      <c r="W460" s="1535"/>
      <c r="X460" s="1535"/>
      <c r="Y460" s="1835"/>
      <c r="Z460" s="1535"/>
      <c r="AA460" s="1535"/>
      <c r="AZ460" s="1893"/>
      <c r="BE460" s="1588"/>
      <c r="BF460" s="21"/>
      <c r="BG460" s="21"/>
      <c r="BH460" s="1536"/>
      <c r="BI460" s="1536"/>
      <c r="BJ460" s="436"/>
    </row>
    <row r="461" spans="14:62" s="20" customFormat="1" x14ac:dyDescent="0.2">
      <c r="N461" s="1607"/>
      <c r="Q461" s="684"/>
      <c r="R461" s="1534"/>
      <c r="T461" s="1588"/>
      <c r="U461" s="1588"/>
      <c r="V461" s="1535"/>
      <c r="W461" s="1535"/>
      <c r="X461" s="1535"/>
      <c r="Y461" s="1835"/>
      <c r="Z461" s="1535"/>
      <c r="AA461" s="1535"/>
      <c r="AZ461" s="1893"/>
      <c r="BE461" s="1588"/>
      <c r="BF461" s="21"/>
      <c r="BG461" s="21"/>
      <c r="BH461" s="1536"/>
      <c r="BI461" s="1536"/>
      <c r="BJ461" s="436"/>
    </row>
    <row r="462" spans="14:62" s="20" customFormat="1" x14ac:dyDescent="0.2">
      <c r="N462" s="1607"/>
      <c r="Q462" s="684"/>
      <c r="R462" s="1534"/>
      <c r="T462" s="1588"/>
      <c r="U462" s="1588"/>
      <c r="V462" s="1535"/>
      <c r="W462" s="1535"/>
      <c r="X462" s="1535"/>
      <c r="Y462" s="1835"/>
      <c r="Z462" s="1535"/>
      <c r="AA462" s="1535"/>
      <c r="AZ462" s="1893"/>
      <c r="BE462" s="1588"/>
      <c r="BF462" s="21"/>
      <c r="BG462" s="21"/>
      <c r="BH462" s="1536"/>
      <c r="BI462" s="1536"/>
      <c r="BJ462" s="436"/>
    </row>
    <row r="463" spans="14:62" s="20" customFormat="1" x14ac:dyDescent="0.2">
      <c r="N463" s="1607"/>
      <c r="Q463" s="684"/>
      <c r="R463" s="1534"/>
      <c r="T463" s="1588"/>
      <c r="U463" s="1588"/>
      <c r="V463" s="1535"/>
      <c r="W463" s="1535"/>
      <c r="X463" s="1535"/>
      <c r="Y463" s="1835"/>
      <c r="Z463" s="1535"/>
      <c r="AA463" s="1535"/>
      <c r="AZ463" s="1893"/>
      <c r="BE463" s="1588"/>
      <c r="BF463" s="21"/>
      <c r="BG463" s="21"/>
      <c r="BH463" s="1536"/>
      <c r="BI463" s="1536"/>
      <c r="BJ463" s="436"/>
    </row>
    <row r="464" spans="14:62" s="20" customFormat="1" x14ac:dyDescent="0.2">
      <c r="N464" s="1607"/>
      <c r="Q464" s="684"/>
      <c r="R464" s="1534"/>
      <c r="T464" s="1588"/>
      <c r="U464" s="1588"/>
      <c r="V464" s="1535"/>
      <c r="W464" s="1535"/>
      <c r="X464" s="1535"/>
      <c r="Y464" s="1835"/>
      <c r="Z464" s="1535"/>
      <c r="AA464" s="1535"/>
      <c r="AZ464" s="1893"/>
      <c r="BE464" s="1588"/>
      <c r="BF464" s="21"/>
      <c r="BG464" s="21"/>
      <c r="BH464" s="1536"/>
      <c r="BI464" s="1536"/>
      <c r="BJ464" s="436"/>
    </row>
    <row r="465" spans="14:62" s="20" customFormat="1" x14ac:dyDescent="0.2">
      <c r="N465" s="1607"/>
      <c r="Q465" s="684"/>
      <c r="R465" s="1534"/>
      <c r="T465" s="1588"/>
      <c r="U465" s="1588"/>
      <c r="V465" s="1535"/>
      <c r="W465" s="1535"/>
      <c r="X465" s="1535"/>
      <c r="Y465" s="1835"/>
      <c r="Z465" s="1535"/>
      <c r="AA465" s="1535"/>
      <c r="AZ465" s="1893"/>
      <c r="BE465" s="1588"/>
      <c r="BF465" s="21"/>
      <c r="BG465" s="21"/>
      <c r="BH465" s="1536"/>
      <c r="BI465" s="1536"/>
      <c r="BJ465" s="436"/>
    </row>
    <row r="466" spans="14:62" s="20" customFormat="1" x14ac:dyDescent="0.2">
      <c r="N466" s="1607"/>
      <c r="Q466" s="684"/>
      <c r="R466" s="1534"/>
      <c r="T466" s="1588"/>
      <c r="U466" s="1588"/>
      <c r="V466" s="1535"/>
      <c r="W466" s="1535"/>
      <c r="X466" s="1535"/>
      <c r="Y466" s="1835"/>
      <c r="Z466" s="1535"/>
      <c r="AA466" s="1535"/>
      <c r="AZ466" s="1893"/>
      <c r="BE466" s="1588"/>
      <c r="BF466" s="21"/>
      <c r="BG466" s="21"/>
      <c r="BH466" s="1536"/>
      <c r="BI466" s="1536"/>
      <c r="BJ466" s="436"/>
    </row>
    <row r="467" spans="14:62" s="20" customFormat="1" x14ac:dyDescent="0.2">
      <c r="N467" s="1607"/>
      <c r="Q467" s="684"/>
      <c r="R467" s="1534"/>
      <c r="T467" s="1588"/>
      <c r="U467" s="1588"/>
      <c r="V467" s="1535"/>
      <c r="W467" s="1535"/>
      <c r="X467" s="1535"/>
      <c r="Y467" s="1835"/>
      <c r="Z467" s="1535"/>
      <c r="AA467" s="1535"/>
      <c r="AZ467" s="1893"/>
      <c r="BE467" s="1588"/>
      <c r="BF467" s="21"/>
      <c r="BG467" s="21"/>
      <c r="BH467" s="1536"/>
      <c r="BI467" s="1536"/>
      <c r="BJ467" s="436"/>
    </row>
    <row r="468" spans="14:62" s="20" customFormat="1" x14ac:dyDescent="0.2">
      <c r="N468" s="1607"/>
      <c r="Q468" s="684"/>
      <c r="R468" s="1534"/>
      <c r="T468" s="1588"/>
      <c r="U468" s="1588"/>
      <c r="V468" s="1535"/>
      <c r="W468" s="1535"/>
      <c r="X468" s="1535"/>
      <c r="Y468" s="1835"/>
      <c r="Z468" s="1535"/>
      <c r="AA468" s="1535"/>
      <c r="AZ468" s="1893"/>
      <c r="BE468" s="1588"/>
      <c r="BF468" s="21"/>
      <c r="BG468" s="21"/>
      <c r="BH468" s="1536"/>
      <c r="BI468" s="1536"/>
      <c r="BJ468" s="436"/>
    </row>
    <row r="469" spans="14:62" s="20" customFormat="1" x14ac:dyDescent="0.2">
      <c r="N469" s="1607"/>
      <c r="Q469" s="684"/>
      <c r="R469" s="1534"/>
      <c r="T469" s="1588"/>
      <c r="U469" s="1588"/>
      <c r="V469" s="1535"/>
      <c r="W469" s="1535"/>
      <c r="X469" s="1535"/>
      <c r="Y469" s="1835"/>
      <c r="Z469" s="1535"/>
      <c r="AA469" s="1535"/>
      <c r="AZ469" s="1893"/>
      <c r="BE469" s="1588"/>
      <c r="BF469" s="21"/>
      <c r="BG469" s="21"/>
      <c r="BH469" s="1536"/>
      <c r="BI469" s="1536"/>
      <c r="BJ469" s="436"/>
    </row>
    <row r="470" spans="14:62" s="20" customFormat="1" x14ac:dyDescent="0.2">
      <c r="N470" s="1607"/>
      <c r="Q470" s="684"/>
      <c r="R470" s="1534"/>
      <c r="T470" s="1588"/>
      <c r="U470" s="1588"/>
      <c r="V470" s="1535"/>
      <c r="W470" s="1535"/>
      <c r="X470" s="1535"/>
      <c r="Y470" s="1835"/>
      <c r="Z470" s="1535"/>
      <c r="AA470" s="1535"/>
      <c r="AZ470" s="1893"/>
      <c r="BE470" s="1588"/>
      <c r="BF470" s="21"/>
      <c r="BG470" s="21"/>
      <c r="BH470" s="1536"/>
      <c r="BI470" s="1536"/>
      <c r="BJ470" s="436"/>
    </row>
    <row r="471" spans="14:62" s="20" customFormat="1" x14ac:dyDescent="0.2">
      <c r="N471" s="1607"/>
      <c r="Q471" s="684"/>
      <c r="R471" s="1534"/>
      <c r="T471" s="1588"/>
      <c r="U471" s="1588"/>
      <c r="V471" s="1535"/>
      <c r="W471" s="1535"/>
      <c r="X471" s="1535"/>
      <c r="Y471" s="1835"/>
      <c r="Z471" s="1535"/>
      <c r="AA471" s="1535"/>
      <c r="AZ471" s="1893"/>
      <c r="BE471" s="1588"/>
      <c r="BF471" s="21"/>
      <c r="BG471" s="21"/>
      <c r="BH471" s="1536"/>
      <c r="BI471" s="1536"/>
      <c r="BJ471" s="436"/>
    </row>
    <row r="472" spans="14:62" s="20" customFormat="1" x14ac:dyDescent="0.2">
      <c r="N472" s="1607"/>
      <c r="Q472" s="684"/>
      <c r="R472" s="1534"/>
      <c r="T472" s="1588"/>
      <c r="U472" s="1588"/>
      <c r="V472" s="1535"/>
      <c r="W472" s="1535"/>
      <c r="X472" s="1535"/>
      <c r="Y472" s="1835"/>
      <c r="Z472" s="1535"/>
      <c r="AA472" s="1535"/>
      <c r="AZ472" s="1893"/>
      <c r="BE472" s="1588"/>
      <c r="BF472" s="21"/>
      <c r="BG472" s="21"/>
      <c r="BH472" s="1536"/>
      <c r="BI472" s="1536"/>
      <c r="BJ472" s="436"/>
    </row>
    <row r="473" spans="14:62" s="20" customFormat="1" x14ac:dyDescent="0.2">
      <c r="N473" s="1607"/>
      <c r="Q473" s="684"/>
      <c r="R473" s="1534"/>
      <c r="T473" s="1588"/>
      <c r="U473" s="1588"/>
      <c r="V473" s="1535"/>
      <c r="W473" s="1535"/>
      <c r="X473" s="1535"/>
      <c r="Y473" s="1835"/>
      <c r="Z473" s="1535"/>
      <c r="AA473" s="1535"/>
      <c r="AZ473" s="1893"/>
      <c r="BE473" s="1588"/>
      <c r="BF473" s="21"/>
      <c r="BG473" s="21"/>
      <c r="BH473" s="1536"/>
      <c r="BI473" s="1536"/>
      <c r="BJ473" s="436"/>
    </row>
    <row r="474" spans="14:62" s="20" customFormat="1" x14ac:dyDescent="0.2">
      <c r="N474" s="1607"/>
      <c r="Q474" s="684"/>
      <c r="R474" s="1534"/>
      <c r="T474" s="1588"/>
      <c r="U474" s="1588"/>
      <c r="V474" s="1535"/>
      <c r="W474" s="1535"/>
      <c r="X474" s="1535"/>
      <c r="Y474" s="1835"/>
      <c r="Z474" s="1535"/>
      <c r="AA474" s="1535"/>
      <c r="AZ474" s="1893"/>
      <c r="BE474" s="1588"/>
      <c r="BF474" s="21"/>
      <c r="BG474" s="21"/>
      <c r="BH474" s="1536"/>
      <c r="BI474" s="1536"/>
      <c r="BJ474" s="436"/>
    </row>
    <row r="475" spans="14:62" s="20" customFormat="1" x14ac:dyDescent="0.2">
      <c r="N475" s="1607"/>
      <c r="Q475" s="684"/>
      <c r="R475" s="1534"/>
      <c r="T475" s="1588"/>
      <c r="U475" s="1588"/>
      <c r="V475" s="1535"/>
      <c r="W475" s="1535"/>
      <c r="X475" s="1535"/>
      <c r="Y475" s="1835"/>
      <c r="Z475" s="1535"/>
      <c r="AA475" s="1535"/>
      <c r="AZ475" s="1893"/>
      <c r="BE475" s="1588"/>
      <c r="BF475" s="21"/>
      <c r="BG475" s="21"/>
      <c r="BH475" s="1536"/>
      <c r="BI475" s="1536"/>
      <c r="BJ475" s="436"/>
    </row>
    <row r="476" spans="14:62" s="20" customFormat="1" x14ac:dyDescent="0.2">
      <c r="N476" s="1607"/>
      <c r="Q476" s="684"/>
      <c r="R476" s="1534"/>
      <c r="T476" s="1588"/>
      <c r="U476" s="1588"/>
      <c r="V476" s="1535"/>
      <c r="W476" s="1535"/>
      <c r="X476" s="1535"/>
      <c r="Y476" s="1835"/>
      <c r="Z476" s="1535"/>
      <c r="AA476" s="1535"/>
      <c r="AZ476" s="1893"/>
      <c r="BE476" s="1588"/>
      <c r="BF476" s="21"/>
      <c r="BG476" s="21"/>
      <c r="BH476" s="1536"/>
      <c r="BI476" s="1536"/>
      <c r="BJ476" s="436"/>
    </row>
    <row r="477" spans="14:62" s="20" customFormat="1" x14ac:dyDescent="0.2">
      <c r="N477" s="1607"/>
      <c r="Q477" s="684"/>
      <c r="R477" s="1534"/>
      <c r="T477" s="1588"/>
      <c r="U477" s="1588"/>
      <c r="V477" s="1535"/>
      <c r="W477" s="1535"/>
      <c r="X477" s="1535"/>
      <c r="Y477" s="1835"/>
      <c r="Z477" s="1535"/>
      <c r="AA477" s="1535"/>
      <c r="AZ477" s="1893"/>
      <c r="BE477" s="1588"/>
      <c r="BF477" s="21"/>
      <c r="BG477" s="21"/>
      <c r="BH477" s="1536"/>
      <c r="BI477" s="1536"/>
      <c r="BJ477" s="436"/>
    </row>
    <row r="478" spans="14:62" s="20" customFormat="1" x14ac:dyDescent="0.2">
      <c r="N478" s="1607"/>
      <c r="Q478" s="684"/>
      <c r="R478" s="1534"/>
      <c r="T478" s="1588"/>
      <c r="U478" s="1588"/>
      <c r="V478" s="1535"/>
      <c r="W478" s="1535"/>
      <c r="X478" s="1535"/>
      <c r="Y478" s="1835"/>
      <c r="Z478" s="1535"/>
      <c r="AA478" s="1535"/>
      <c r="AZ478" s="1893"/>
      <c r="BE478" s="1588"/>
      <c r="BF478" s="21"/>
      <c r="BG478" s="21"/>
      <c r="BH478" s="1536"/>
      <c r="BI478" s="1536"/>
      <c r="BJ478" s="436"/>
    </row>
    <row r="479" spans="14:62" s="20" customFormat="1" x14ac:dyDescent="0.2">
      <c r="N479" s="1607"/>
      <c r="Q479" s="684"/>
      <c r="R479" s="1534"/>
      <c r="T479" s="1588"/>
      <c r="U479" s="1588"/>
      <c r="V479" s="1535"/>
      <c r="W479" s="1535"/>
      <c r="X479" s="1535"/>
      <c r="Y479" s="1835"/>
      <c r="Z479" s="1535"/>
      <c r="AA479" s="1535"/>
      <c r="AZ479" s="1893"/>
      <c r="BE479" s="1588"/>
      <c r="BF479" s="21"/>
      <c r="BG479" s="21"/>
      <c r="BH479" s="1536"/>
      <c r="BI479" s="1536"/>
      <c r="BJ479" s="436"/>
    </row>
    <row r="480" spans="14:62" s="20" customFormat="1" x14ac:dyDescent="0.2">
      <c r="N480" s="1607"/>
      <c r="Q480" s="684"/>
      <c r="R480" s="1534"/>
      <c r="T480" s="1588"/>
      <c r="U480" s="1588"/>
      <c r="V480" s="1535"/>
      <c r="W480" s="1535"/>
      <c r="X480" s="1535"/>
      <c r="Y480" s="1835"/>
      <c r="Z480" s="1535"/>
      <c r="AA480" s="1535"/>
      <c r="AZ480" s="1893"/>
      <c r="BE480" s="1588"/>
      <c r="BF480" s="21"/>
      <c r="BG480" s="21"/>
      <c r="BH480" s="1536"/>
      <c r="BI480" s="1536"/>
      <c r="BJ480" s="436"/>
    </row>
    <row r="481" spans="14:62" s="20" customFormat="1" x14ac:dyDescent="0.2">
      <c r="N481" s="1607"/>
      <c r="Q481" s="684"/>
      <c r="R481" s="1534"/>
      <c r="T481" s="1588"/>
      <c r="U481" s="1588"/>
      <c r="V481" s="1535"/>
      <c r="W481" s="1535"/>
      <c r="X481" s="1535"/>
      <c r="Y481" s="1835"/>
      <c r="Z481" s="1535"/>
      <c r="AA481" s="1535"/>
      <c r="AZ481" s="1893"/>
      <c r="BE481" s="1588"/>
      <c r="BF481" s="21"/>
      <c r="BG481" s="21"/>
      <c r="BH481" s="1536"/>
      <c r="BI481" s="1536"/>
      <c r="BJ481" s="436"/>
    </row>
    <row r="482" spans="14:62" s="20" customFormat="1" x14ac:dyDescent="0.2">
      <c r="N482" s="1607"/>
      <c r="Q482" s="684"/>
      <c r="R482" s="1534"/>
      <c r="T482" s="1588"/>
      <c r="U482" s="1588"/>
      <c r="V482" s="1535"/>
      <c r="W482" s="1535"/>
      <c r="X482" s="1535"/>
      <c r="Y482" s="1835"/>
      <c r="Z482" s="1535"/>
      <c r="AA482" s="1535"/>
      <c r="AZ482" s="1893"/>
      <c r="BE482" s="1588"/>
      <c r="BF482" s="21"/>
      <c r="BG482" s="21"/>
      <c r="BH482" s="1536"/>
      <c r="BI482" s="1536"/>
      <c r="BJ482" s="436"/>
    </row>
    <row r="483" spans="14:62" s="20" customFormat="1" x14ac:dyDescent="0.2">
      <c r="N483" s="1607"/>
      <c r="Q483" s="684"/>
      <c r="R483" s="1534"/>
      <c r="T483" s="1588"/>
      <c r="U483" s="1588"/>
      <c r="V483" s="1535"/>
      <c r="W483" s="1535"/>
      <c r="X483" s="1535"/>
      <c r="Y483" s="1835"/>
      <c r="Z483" s="1535"/>
      <c r="AA483" s="1535"/>
      <c r="AZ483" s="1893"/>
      <c r="BE483" s="1588"/>
      <c r="BF483" s="21"/>
      <c r="BG483" s="21"/>
      <c r="BH483" s="1536"/>
      <c r="BI483" s="1536"/>
      <c r="BJ483" s="436"/>
    </row>
    <row r="484" spans="14:62" s="20" customFormat="1" x14ac:dyDescent="0.2">
      <c r="N484" s="1607"/>
      <c r="Q484" s="684"/>
      <c r="R484" s="1534"/>
      <c r="T484" s="1588"/>
      <c r="U484" s="1588"/>
      <c r="V484" s="1535"/>
      <c r="W484" s="1535"/>
      <c r="X484" s="1535"/>
      <c r="Y484" s="1835"/>
      <c r="Z484" s="1535"/>
      <c r="AA484" s="1535"/>
      <c r="AZ484" s="1893"/>
      <c r="BE484" s="1588"/>
      <c r="BF484" s="21"/>
      <c r="BG484" s="21"/>
      <c r="BH484" s="1536"/>
      <c r="BI484" s="1536"/>
      <c r="BJ484" s="436"/>
    </row>
    <row r="485" spans="14:62" s="20" customFormat="1" x14ac:dyDescent="0.2">
      <c r="N485" s="1607"/>
      <c r="Q485" s="684"/>
      <c r="R485" s="1534"/>
      <c r="T485" s="1588"/>
      <c r="U485" s="1588"/>
      <c r="V485" s="1535"/>
      <c r="W485" s="1535"/>
      <c r="X485" s="1535"/>
      <c r="Y485" s="1835"/>
      <c r="Z485" s="1535"/>
      <c r="AA485" s="1535"/>
      <c r="AZ485" s="1893"/>
      <c r="BE485" s="1588"/>
      <c r="BF485" s="21"/>
      <c r="BG485" s="21"/>
      <c r="BH485" s="1536"/>
      <c r="BI485" s="1536"/>
      <c r="BJ485" s="436"/>
    </row>
    <row r="486" spans="14:62" s="20" customFormat="1" x14ac:dyDescent="0.2">
      <c r="N486" s="1607"/>
      <c r="Q486" s="684"/>
      <c r="R486" s="1534"/>
      <c r="T486" s="1588"/>
      <c r="U486" s="1588"/>
      <c r="V486" s="1535"/>
      <c r="W486" s="1535"/>
      <c r="X486" s="1535"/>
      <c r="Y486" s="1835"/>
      <c r="Z486" s="1535"/>
      <c r="AA486" s="1535"/>
      <c r="AZ486" s="1893"/>
      <c r="BE486" s="1588"/>
      <c r="BF486" s="21"/>
      <c r="BG486" s="21"/>
      <c r="BH486" s="1536"/>
      <c r="BI486" s="1536"/>
      <c r="BJ486" s="436"/>
    </row>
    <row r="487" spans="14:62" s="20" customFormat="1" x14ac:dyDescent="0.2">
      <c r="N487" s="1607"/>
      <c r="Q487" s="684"/>
      <c r="R487" s="1534"/>
      <c r="T487" s="1588"/>
      <c r="U487" s="1588"/>
      <c r="V487" s="1535"/>
      <c r="W487" s="1535"/>
      <c r="X487" s="1535"/>
      <c r="Y487" s="1835"/>
      <c r="Z487" s="1535"/>
      <c r="AA487" s="1535"/>
      <c r="AZ487" s="1893"/>
      <c r="BE487" s="1588"/>
      <c r="BF487" s="21"/>
      <c r="BG487" s="21"/>
      <c r="BH487" s="1536"/>
      <c r="BI487" s="1536"/>
      <c r="BJ487" s="436"/>
    </row>
    <row r="488" spans="14:62" s="20" customFormat="1" x14ac:dyDescent="0.2">
      <c r="N488" s="1607"/>
      <c r="Q488" s="684"/>
      <c r="R488" s="1534"/>
      <c r="T488" s="1588"/>
      <c r="U488" s="1588"/>
      <c r="V488" s="1535"/>
      <c r="W488" s="1535"/>
      <c r="X488" s="1535"/>
      <c r="Y488" s="1835"/>
      <c r="Z488" s="1535"/>
      <c r="AA488" s="1535"/>
      <c r="AZ488" s="1893"/>
      <c r="BE488" s="1588"/>
      <c r="BF488" s="21"/>
      <c r="BG488" s="21"/>
      <c r="BH488" s="1536"/>
      <c r="BI488" s="1536"/>
      <c r="BJ488" s="436"/>
    </row>
    <row r="489" spans="14:62" s="20" customFormat="1" x14ac:dyDescent="0.2">
      <c r="N489" s="1607"/>
      <c r="Q489" s="684"/>
      <c r="R489" s="1534"/>
      <c r="T489" s="1588"/>
      <c r="U489" s="1588"/>
      <c r="V489" s="1535"/>
      <c r="W489" s="1535"/>
      <c r="X489" s="1535"/>
      <c r="Y489" s="1835"/>
      <c r="Z489" s="1535"/>
      <c r="AA489" s="1535"/>
      <c r="AZ489" s="1893"/>
      <c r="BE489" s="1588"/>
      <c r="BF489" s="21"/>
      <c r="BG489" s="21"/>
      <c r="BH489" s="1536"/>
      <c r="BI489" s="1536"/>
      <c r="BJ489" s="436"/>
    </row>
    <row r="490" spans="14:62" s="20" customFormat="1" x14ac:dyDescent="0.2">
      <c r="N490" s="1607"/>
      <c r="Q490" s="684"/>
      <c r="R490" s="1534"/>
      <c r="T490" s="1588"/>
      <c r="U490" s="1588"/>
      <c r="V490" s="1535"/>
      <c r="W490" s="1535"/>
      <c r="X490" s="1535"/>
      <c r="Y490" s="1835"/>
      <c r="Z490" s="1535"/>
      <c r="AA490" s="1535"/>
      <c r="AZ490" s="1893"/>
      <c r="BE490" s="1588"/>
      <c r="BF490" s="21"/>
      <c r="BG490" s="21"/>
      <c r="BH490" s="1536"/>
      <c r="BI490" s="1536"/>
      <c r="BJ490" s="436"/>
    </row>
    <row r="491" spans="14:62" s="20" customFormat="1" x14ac:dyDescent="0.2">
      <c r="N491" s="1607"/>
      <c r="Q491" s="684"/>
      <c r="R491" s="1534"/>
      <c r="T491" s="1588"/>
      <c r="U491" s="1588"/>
      <c r="V491" s="1535"/>
      <c r="W491" s="1535"/>
      <c r="X491" s="1535"/>
      <c r="Y491" s="1835"/>
      <c r="Z491" s="1535"/>
      <c r="AA491" s="1535"/>
      <c r="AZ491" s="1893"/>
      <c r="BE491" s="1588"/>
      <c r="BF491" s="21"/>
      <c r="BG491" s="21"/>
      <c r="BH491" s="1536"/>
      <c r="BI491" s="1536"/>
      <c r="BJ491" s="436"/>
    </row>
    <row r="492" spans="14:62" s="20" customFormat="1" x14ac:dyDescent="0.2">
      <c r="N492" s="1607"/>
      <c r="Q492" s="684"/>
      <c r="R492" s="1534"/>
      <c r="T492" s="1588"/>
      <c r="U492" s="1588"/>
      <c r="V492" s="1535"/>
      <c r="W492" s="1535"/>
      <c r="X492" s="1535"/>
      <c r="Y492" s="1835"/>
      <c r="Z492" s="1535"/>
      <c r="AA492" s="1535"/>
      <c r="AZ492" s="1893"/>
      <c r="BE492" s="1588"/>
      <c r="BF492" s="21"/>
      <c r="BG492" s="21"/>
      <c r="BH492" s="1536"/>
      <c r="BI492" s="1536"/>
      <c r="BJ492" s="436"/>
    </row>
    <row r="493" spans="14:62" s="20" customFormat="1" x14ac:dyDescent="0.2">
      <c r="N493" s="1607"/>
      <c r="Q493" s="684"/>
      <c r="R493" s="1534"/>
      <c r="T493" s="1588"/>
      <c r="U493" s="1588"/>
      <c r="V493" s="1535"/>
      <c r="W493" s="1535"/>
      <c r="X493" s="1535"/>
      <c r="Y493" s="1835"/>
      <c r="Z493" s="1535"/>
      <c r="AA493" s="1535"/>
      <c r="AZ493" s="1893"/>
      <c r="BE493" s="1588"/>
      <c r="BF493" s="21"/>
      <c r="BG493" s="21"/>
      <c r="BH493" s="1536"/>
      <c r="BI493" s="1536"/>
      <c r="BJ493" s="436"/>
    </row>
    <row r="494" spans="14:62" s="20" customFormat="1" x14ac:dyDescent="0.2">
      <c r="N494" s="1607"/>
      <c r="Q494" s="684"/>
      <c r="R494" s="1534"/>
      <c r="T494" s="1588"/>
      <c r="U494" s="1588"/>
      <c r="V494" s="1535"/>
      <c r="W494" s="1535"/>
      <c r="X494" s="1535"/>
      <c r="Y494" s="1835"/>
      <c r="Z494" s="1535"/>
      <c r="AA494" s="1535"/>
      <c r="AZ494" s="1893"/>
      <c r="BE494" s="1588"/>
      <c r="BF494" s="21"/>
      <c r="BG494" s="21"/>
      <c r="BH494" s="1536"/>
      <c r="BI494" s="1536"/>
      <c r="BJ494" s="436"/>
    </row>
    <row r="495" spans="14:62" s="20" customFormat="1" x14ac:dyDescent="0.2">
      <c r="N495" s="1607"/>
      <c r="Q495" s="684"/>
      <c r="R495" s="1534"/>
      <c r="T495" s="1588"/>
      <c r="U495" s="1588"/>
      <c r="V495" s="1535"/>
      <c r="W495" s="1535"/>
      <c r="X495" s="1535"/>
      <c r="Y495" s="1835"/>
      <c r="Z495" s="1535"/>
      <c r="AA495" s="1535"/>
      <c r="AZ495" s="1893"/>
      <c r="BE495" s="1588"/>
      <c r="BF495" s="21"/>
      <c r="BG495" s="21"/>
      <c r="BH495" s="1536"/>
      <c r="BI495" s="1536"/>
      <c r="BJ495" s="436"/>
    </row>
    <row r="496" spans="14:62" s="20" customFormat="1" x14ac:dyDescent="0.2">
      <c r="N496" s="1607"/>
      <c r="Q496" s="684"/>
      <c r="R496" s="1534"/>
      <c r="T496" s="1588"/>
      <c r="U496" s="1588"/>
      <c r="V496" s="1535"/>
      <c r="W496" s="1535"/>
      <c r="X496" s="1535"/>
      <c r="Y496" s="1835"/>
      <c r="Z496" s="1535"/>
      <c r="AA496" s="1535"/>
      <c r="AZ496" s="1893"/>
      <c r="BE496" s="1588"/>
      <c r="BF496" s="21"/>
      <c r="BG496" s="21"/>
      <c r="BH496" s="1536"/>
      <c r="BI496" s="1536"/>
      <c r="BJ496" s="436"/>
    </row>
    <row r="497" spans="14:62" s="20" customFormat="1" x14ac:dyDescent="0.2">
      <c r="N497" s="1607"/>
      <c r="Q497" s="684"/>
      <c r="R497" s="1534"/>
      <c r="T497" s="1588"/>
      <c r="U497" s="1588"/>
      <c r="V497" s="1535"/>
      <c r="W497" s="1535"/>
      <c r="X497" s="1535"/>
      <c r="Y497" s="1835"/>
      <c r="Z497" s="1535"/>
      <c r="AA497" s="1535"/>
      <c r="AZ497" s="1893"/>
      <c r="BE497" s="1588"/>
      <c r="BF497" s="21"/>
      <c r="BG497" s="21"/>
      <c r="BH497" s="1536"/>
      <c r="BI497" s="1536"/>
      <c r="BJ497" s="436"/>
    </row>
    <row r="498" spans="14:62" s="20" customFormat="1" x14ac:dyDescent="0.2">
      <c r="N498" s="1607"/>
      <c r="Q498" s="684"/>
      <c r="R498" s="1534"/>
      <c r="T498" s="1588"/>
      <c r="U498" s="1588"/>
      <c r="V498" s="1535"/>
      <c r="W498" s="1535"/>
      <c r="X498" s="1535"/>
      <c r="Y498" s="1835"/>
      <c r="Z498" s="1535"/>
      <c r="AA498" s="1535"/>
      <c r="AZ498" s="1893"/>
      <c r="BE498" s="1588"/>
      <c r="BF498" s="21"/>
      <c r="BG498" s="21"/>
      <c r="BH498" s="1536"/>
      <c r="BI498" s="1536"/>
      <c r="BJ498" s="436"/>
    </row>
    <row r="499" spans="14:62" s="20" customFormat="1" x14ac:dyDescent="0.2">
      <c r="N499" s="1607"/>
      <c r="Q499" s="684"/>
      <c r="R499" s="1534"/>
      <c r="T499" s="1588"/>
      <c r="U499" s="1588"/>
      <c r="V499" s="1535"/>
      <c r="W499" s="1535"/>
      <c r="X499" s="1535"/>
      <c r="Y499" s="1835"/>
      <c r="Z499" s="1535"/>
      <c r="AA499" s="1535"/>
      <c r="AZ499" s="1893"/>
      <c r="BE499" s="1588"/>
      <c r="BF499" s="21"/>
      <c r="BG499" s="21"/>
      <c r="BH499" s="1536"/>
      <c r="BI499" s="1536"/>
      <c r="BJ499" s="436"/>
    </row>
    <row r="500" spans="14:62" s="20" customFormat="1" x14ac:dyDescent="0.2">
      <c r="N500" s="1607"/>
      <c r="Q500" s="684"/>
      <c r="R500" s="1534"/>
      <c r="T500" s="1588"/>
      <c r="U500" s="1588"/>
      <c r="V500" s="1535"/>
      <c r="W500" s="1535"/>
      <c r="X500" s="1535"/>
      <c r="Y500" s="1835"/>
      <c r="Z500" s="1535"/>
      <c r="AA500" s="1535"/>
      <c r="AZ500" s="1893"/>
      <c r="BE500" s="1588"/>
      <c r="BF500" s="21"/>
      <c r="BG500" s="21"/>
      <c r="BH500" s="1536"/>
      <c r="BI500" s="1536"/>
      <c r="BJ500" s="436"/>
    </row>
    <row r="501" spans="14:62" s="20" customFormat="1" x14ac:dyDescent="0.2">
      <c r="N501" s="1607"/>
      <c r="Q501" s="684"/>
      <c r="R501" s="1534"/>
      <c r="T501" s="1588"/>
      <c r="U501" s="1588"/>
      <c r="V501" s="1535"/>
      <c r="W501" s="1535"/>
      <c r="X501" s="1535"/>
      <c r="Y501" s="1835"/>
      <c r="Z501" s="1535"/>
      <c r="AA501" s="1535"/>
      <c r="AZ501" s="1893"/>
      <c r="BE501" s="1588"/>
      <c r="BF501" s="21"/>
      <c r="BG501" s="21"/>
      <c r="BH501" s="1536"/>
      <c r="BI501" s="1536"/>
      <c r="BJ501" s="436"/>
    </row>
    <row r="502" spans="14:62" s="20" customFormat="1" x14ac:dyDescent="0.2">
      <c r="N502" s="1607"/>
      <c r="Q502" s="684"/>
      <c r="R502" s="1534"/>
      <c r="T502" s="1588"/>
      <c r="U502" s="1588"/>
      <c r="V502" s="1535"/>
      <c r="W502" s="1535"/>
      <c r="X502" s="1535"/>
      <c r="Y502" s="1835"/>
      <c r="Z502" s="1535"/>
      <c r="AA502" s="1535"/>
      <c r="AZ502" s="1893"/>
      <c r="BE502" s="1588"/>
      <c r="BF502" s="21"/>
      <c r="BG502" s="21"/>
      <c r="BH502" s="1536"/>
      <c r="BI502" s="1536"/>
      <c r="BJ502" s="436"/>
    </row>
    <row r="503" spans="14:62" s="20" customFormat="1" x14ac:dyDescent="0.2">
      <c r="N503" s="1607"/>
      <c r="Q503" s="684"/>
      <c r="R503" s="1534"/>
      <c r="T503" s="1588"/>
      <c r="U503" s="1588"/>
      <c r="V503" s="1535"/>
      <c r="W503" s="1535"/>
      <c r="X503" s="1535"/>
      <c r="Y503" s="1835"/>
      <c r="Z503" s="1535"/>
      <c r="AA503" s="1535"/>
      <c r="AZ503" s="1893"/>
      <c r="BE503" s="1588"/>
      <c r="BF503" s="21"/>
      <c r="BG503" s="21"/>
      <c r="BH503" s="1536"/>
      <c r="BI503" s="1536"/>
      <c r="BJ503" s="436"/>
    </row>
    <row r="504" spans="14:62" s="20" customFormat="1" x14ac:dyDescent="0.2">
      <c r="N504" s="1607"/>
      <c r="Q504" s="684"/>
      <c r="R504" s="1534"/>
      <c r="T504" s="1588"/>
      <c r="U504" s="1588"/>
      <c r="V504" s="1535"/>
      <c r="W504" s="1535"/>
      <c r="X504" s="1535"/>
      <c r="Y504" s="1835"/>
      <c r="Z504" s="1535"/>
      <c r="AA504" s="1535"/>
      <c r="AZ504" s="1893"/>
      <c r="BE504" s="1588"/>
      <c r="BF504" s="21"/>
      <c r="BG504" s="21"/>
      <c r="BH504" s="1536"/>
      <c r="BI504" s="1536"/>
      <c r="BJ504" s="436"/>
    </row>
    <row r="505" spans="14:62" s="20" customFormat="1" x14ac:dyDescent="0.2">
      <c r="N505" s="1607"/>
      <c r="Q505" s="684"/>
      <c r="R505" s="1534"/>
      <c r="T505" s="1588"/>
      <c r="U505" s="1588"/>
      <c r="V505" s="1535"/>
      <c r="W505" s="1535"/>
      <c r="X505" s="1535"/>
      <c r="Y505" s="1835"/>
      <c r="Z505" s="1535"/>
      <c r="AA505" s="1535"/>
      <c r="AZ505" s="1893"/>
      <c r="BE505" s="1588"/>
      <c r="BF505" s="21"/>
      <c r="BG505" s="21"/>
      <c r="BH505" s="1536"/>
      <c r="BI505" s="1536"/>
      <c r="BJ505" s="436"/>
    </row>
    <row r="506" spans="14:62" s="20" customFormat="1" x14ac:dyDescent="0.2">
      <c r="N506" s="1607"/>
      <c r="Q506" s="684"/>
      <c r="R506" s="1534"/>
      <c r="T506" s="1588"/>
      <c r="U506" s="1588"/>
      <c r="V506" s="1535"/>
      <c r="W506" s="1535"/>
      <c r="X506" s="1535"/>
      <c r="Y506" s="1835"/>
      <c r="Z506" s="1535"/>
      <c r="AA506" s="1535"/>
      <c r="AZ506" s="1893"/>
      <c r="BE506" s="1588"/>
      <c r="BF506" s="21"/>
      <c r="BG506" s="21"/>
      <c r="BH506" s="1536"/>
      <c r="BI506" s="1536"/>
      <c r="BJ506" s="436"/>
    </row>
    <row r="507" spans="14:62" s="20" customFormat="1" x14ac:dyDescent="0.2">
      <c r="N507" s="1607"/>
      <c r="Q507" s="684"/>
      <c r="R507" s="1534"/>
      <c r="T507" s="1588"/>
      <c r="U507" s="1588"/>
      <c r="V507" s="1535"/>
      <c r="W507" s="1535"/>
      <c r="X507" s="1535"/>
      <c r="Y507" s="1835"/>
      <c r="Z507" s="1535"/>
      <c r="AA507" s="1535"/>
      <c r="AZ507" s="1893"/>
      <c r="BE507" s="1588"/>
      <c r="BF507" s="21"/>
      <c r="BG507" s="21"/>
      <c r="BH507" s="1536"/>
      <c r="BI507" s="1536"/>
      <c r="BJ507" s="436"/>
    </row>
    <row r="508" spans="14:62" s="20" customFormat="1" x14ac:dyDescent="0.2">
      <c r="N508" s="1607"/>
      <c r="Q508" s="684"/>
      <c r="R508" s="1534"/>
      <c r="T508" s="1588"/>
      <c r="U508" s="1588"/>
      <c r="V508" s="1535"/>
      <c r="W508" s="1535"/>
      <c r="X508" s="1535"/>
      <c r="Y508" s="1835"/>
      <c r="Z508" s="1535"/>
      <c r="AA508" s="1535"/>
      <c r="AZ508" s="1893"/>
      <c r="BE508" s="1588"/>
      <c r="BF508" s="21"/>
      <c r="BG508" s="21"/>
      <c r="BH508" s="1536"/>
      <c r="BI508" s="1536"/>
      <c r="BJ508" s="436"/>
    </row>
    <row r="509" spans="14:62" s="20" customFormat="1" x14ac:dyDescent="0.2">
      <c r="N509" s="1607"/>
      <c r="Q509" s="684"/>
      <c r="R509" s="1534"/>
      <c r="T509" s="1588"/>
      <c r="U509" s="1588"/>
      <c r="V509" s="1535"/>
      <c r="W509" s="1535"/>
      <c r="X509" s="1535"/>
      <c r="Y509" s="1835"/>
      <c r="Z509" s="1535"/>
      <c r="AA509" s="1535"/>
      <c r="AZ509" s="1893"/>
      <c r="BE509" s="1588"/>
      <c r="BF509" s="21"/>
      <c r="BG509" s="21"/>
      <c r="BH509" s="1536"/>
      <c r="BI509" s="1536"/>
      <c r="BJ509" s="436"/>
    </row>
    <row r="510" spans="14:62" s="20" customFormat="1" x14ac:dyDescent="0.2">
      <c r="N510" s="1607"/>
      <c r="Q510" s="684"/>
      <c r="R510" s="1534"/>
      <c r="T510" s="1588"/>
      <c r="U510" s="1588"/>
      <c r="V510" s="1535"/>
      <c r="W510" s="1535"/>
      <c r="X510" s="1535"/>
      <c r="Y510" s="1835"/>
      <c r="Z510" s="1535"/>
      <c r="AA510" s="1535"/>
      <c r="AZ510" s="1893"/>
      <c r="BE510" s="1588"/>
      <c r="BF510" s="21"/>
      <c r="BG510" s="21"/>
      <c r="BH510" s="1536"/>
      <c r="BI510" s="1536"/>
      <c r="BJ510" s="436"/>
    </row>
    <row r="511" spans="14:62" s="20" customFormat="1" x14ac:dyDescent="0.2">
      <c r="N511" s="1607"/>
      <c r="Q511" s="684"/>
      <c r="R511" s="1534"/>
      <c r="T511" s="1588"/>
      <c r="U511" s="1588"/>
      <c r="V511" s="1535"/>
      <c r="W511" s="1535"/>
      <c r="X511" s="1535"/>
      <c r="Y511" s="1835"/>
      <c r="Z511" s="1535"/>
      <c r="AA511" s="1535"/>
      <c r="AZ511" s="1893"/>
      <c r="BE511" s="1588"/>
      <c r="BF511" s="21"/>
      <c r="BG511" s="21"/>
      <c r="BH511" s="1536"/>
      <c r="BI511" s="1536"/>
      <c r="BJ511" s="436"/>
    </row>
    <row r="512" spans="14:62" s="20" customFormat="1" x14ac:dyDescent="0.2">
      <c r="N512" s="1607"/>
      <c r="Q512" s="684"/>
      <c r="R512" s="1534"/>
      <c r="T512" s="1588"/>
      <c r="U512" s="1588"/>
      <c r="V512" s="1535"/>
      <c r="W512" s="1535"/>
      <c r="X512" s="1535"/>
      <c r="Y512" s="1835"/>
      <c r="Z512" s="1535"/>
      <c r="AA512" s="1535"/>
      <c r="AZ512" s="1893"/>
      <c r="BE512" s="1588"/>
      <c r="BF512" s="21"/>
      <c r="BG512" s="21"/>
      <c r="BH512" s="1536"/>
      <c r="BI512" s="1536"/>
      <c r="BJ512" s="436"/>
    </row>
    <row r="513" spans="14:62" s="20" customFormat="1" x14ac:dyDescent="0.2">
      <c r="N513" s="1607"/>
      <c r="Q513" s="684"/>
      <c r="R513" s="1534"/>
      <c r="T513" s="1588"/>
      <c r="U513" s="1588"/>
      <c r="V513" s="1535"/>
      <c r="W513" s="1535"/>
      <c r="X513" s="1535"/>
      <c r="Y513" s="1835"/>
      <c r="Z513" s="1535"/>
      <c r="AA513" s="1535"/>
      <c r="AZ513" s="1893"/>
      <c r="BE513" s="1588"/>
      <c r="BF513" s="21"/>
      <c r="BG513" s="21"/>
      <c r="BH513" s="1536"/>
      <c r="BI513" s="1536"/>
      <c r="BJ513" s="436"/>
    </row>
    <row r="514" spans="14:62" s="20" customFormat="1" x14ac:dyDescent="0.2">
      <c r="N514" s="1607"/>
      <c r="Q514" s="684"/>
      <c r="R514" s="1534"/>
      <c r="T514" s="1588"/>
      <c r="U514" s="1588"/>
      <c r="V514" s="1535"/>
      <c r="W514" s="1535"/>
      <c r="X514" s="1535"/>
      <c r="Y514" s="1835"/>
      <c r="Z514" s="1535"/>
      <c r="AA514" s="1535"/>
      <c r="AZ514" s="1893"/>
      <c r="BE514" s="1588"/>
      <c r="BF514" s="21"/>
      <c r="BG514" s="21"/>
      <c r="BH514" s="1536"/>
      <c r="BI514" s="1536"/>
      <c r="BJ514" s="436"/>
    </row>
    <row r="515" spans="14:62" s="20" customFormat="1" x14ac:dyDescent="0.2">
      <c r="N515" s="1607"/>
      <c r="Q515" s="684"/>
      <c r="R515" s="1534"/>
      <c r="T515" s="1588"/>
      <c r="U515" s="1588"/>
      <c r="V515" s="1535"/>
      <c r="W515" s="1535"/>
      <c r="X515" s="1535"/>
      <c r="Y515" s="1835"/>
      <c r="Z515" s="1535"/>
      <c r="AA515" s="1535"/>
      <c r="AZ515" s="1893"/>
      <c r="BE515" s="1588"/>
      <c r="BF515" s="21"/>
      <c r="BG515" s="21"/>
      <c r="BH515" s="1536"/>
      <c r="BI515" s="1536"/>
      <c r="BJ515" s="436"/>
    </row>
    <row r="516" spans="14:62" s="20" customFormat="1" x14ac:dyDescent="0.2">
      <c r="N516" s="1607"/>
      <c r="Q516" s="684"/>
      <c r="R516" s="1534"/>
      <c r="T516" s="1588"/>
      <c r="U516" s="1588"/>
      <c r="V516" s="1535"/>
      <c r="W516" s="1535"/>
      <c r="X516" s="1535"/>
      <c r="Y516" s="1835"/>
      <c r="Z516" s="1535"/>
      <c r="AA516" s="1535"/>
      <c r="AZ516" s="1893"/>
      <c r="BE516" s="1588"/>
      <c r="BF516" s="21"/>
      <c r="BG516" s="21"/>
      <c r="BH516" s="1536"/>
      <c r="BI516" s="1536"/>
      <c r="BJ516" s="436"/>
    </row>
    <row r="517" spans="14:62" s="20" customFormat="1" x14ac:dyDescent="0.2">
      <c r="N517" s="1607"/>
      <c r="Q517" s="684"/>
      <c r="R517" s="1534"/>
      <c r="T517" s="1588"/>
      <c r="U517" s="1588"/>
      <c r="V517" s="1535"/>
      <c r="W517" s="1535"/>
      <c r="X517" s="1535"/>
      <c r="Y517" s="1835"/>
      <c r="Z517" s="1535"/>
      <c r="AA517" s="1535"/>
      <c r="AZ517" s="1893"/>
      <c r="BE517" s="1588"/>
      <c r="BF517" s="21"/>
      <c r="BG517" s="21"/>
      <c r="BH517" s="1536"/>
      <c r="BI517" s="1536"/>
      <c r="BJ517" s="436"/>
    </row>
    <row r="518" spans="14:62" s="20" customFormat="1" x14ac:dyDescent="0.2">
      <c r="N518" s="1607"/>
      <c r="Q518" s="684"/>
      <c r="R518" s="1534"/>
      <c r="T518" s="1588"/>
      <c r="U518" s="1588"/>
      <c r="V518" s="1535"/>
      <c r="W518" s="1535"/>
      <c r="X518" s="1535"/>
      <c r="Y518" s="1835"/>
      <c r="Z518" s="1535"/>
      <c r="AA518" s="1535"/>
      <c r="AZ518" s="1893"/>
      <c r="BE518" s="1588"/>
      <c r="BF518" s="21"/>
      <c r="BG518" s="21"/>
      <c r="BH518" s="1536"/>
      <c r="BI518" s="1536"/>
      <c r="BJ518" s="436"/>
    </row>
    <row r="519" spans="14:62" s="20" customFormat="1" x14ac:dyDescent="0.2">
      <c r="N519" s="1607"/>
      <c r="Q519" s="684"/>
      <c r="R519" s="1534"/>
      <c r="T519" s="1588"/>
      <c r="U519" s="1588"/>
      <c r="V519" s="1535"/>
      <c r="W519" s="1535"/>
      <c r="X519" s="1535"/>
      <c r="Y519" s="1835"/>
      <c r="Z519" s="1535"/>
      <c r="AA519" s="1535"/>
      <c r="AZ519" s="1893"/>
      <c r="BE519" s="1588"/>
      <c r="BF519" s="21"/>
      <c r="BG519" s="21"/>
      <c r="BH519" s="1536"/>
      <c r="BI519" s="1536"/>
      <c r="BJ519" s="436"/>
    </row>
    <row r="520" spans="14:62" s="20" customFormat="1" x14ac:dyDescent="0.2">
      <c r="N520" s="1607"/>
      <c r="Q520" s="684"/>
      <c r="R520" s="1534"/>
      <c r="T520" s="1588"/>
      <c r="U520" s="1588"/>
      <c r="V520" s="1535"/>
      <c r="W520" s="1535"/>
      <c r="X520" s="1535"/>
      <c r="Y520" s="1835"/>
      <c r="Z520" s="1535"/>
      <c r="AA520" s="1535"/>
      <c r="AZ520" s="1893"/>
      <c r="BE520" s="1588"/>
      <c r="BF520" s="21"/>
      <c r="BG520" s="21"/>
      <c r="BH520" s="1536"/>
      <c r="BI520" s="1536"/>
      <c r="BJ520" s="436"/>
    </row>
    <row r="521" spans="14:62" s="20" customFormat="1" x14ac:dyDescent="0.2">
      <c r="N521" s="1607"/>
      <c r="Q521" s="684"/>
      <c r="R521" s="1534"/>
      <c r="T521" s="1588"/>
      <c r="U521" s="1588"/>
      <c r="V521" s="1535"/>
      <c r="W521" s="1535"/>
      <c r="X521" s="1535"/>
      <c r="Y521" s="1835"/>
      <c r="Z521" s="1535"/>
      <c r="AA521" s="1535"/>
      <c r="AZ521" s="1893"/>
      <c r="BE521" s="1588"/>
      <c r="BF521" s="21"/>
      <c r="BG521" s="21"/>
      <c r="BH521" s="1536"/>
      <c r="BI521" s="1536"/>
      <c r="BJ521" s="436"/>
    </row>
    <row r="522" spans="14:62" s="20" customFormat="1" x14ac:dyDescent="0.2">
      <c r="N522" s="1607"/>
      <c r="Q522" s="684"/>
      <c r="R522" s="1534"/>
      <c r="T522" s="1588"/>
      <c r="U522" s="1588"/>
      <c r="V522" s="1535"/>
      <c r="W522" s="1535"/>
      <c r="X522" s="1535"/>
      <c r="Y522" s="1835"/>
      <c r="Z522" s="1535"/>
      <c r="AA522" s="1535"/>
      <c r="AZ522" s="1893"/>
      <c r="BE522" s="1588"/>
      <c r="BF522" s="21"/>
      <c r="BG522" s="21"/>
      <c r="BH522" s="1536"/>
      <c r="BI522" s="1536"/>
      <c r="BJ522" s="436"/>
    </row>
    <row r="523" spans="14:62" s="20" customFormat="1" x14ac:dyDescent="0.2">
      <c r="N523" s="1607"/>
      <c r="Q523" s="684"/>
      <c r="R523" s="1534"/>
      <c r="T523" s="1588"/>
      <c r="U523" s="1588"/>
      <c r="V523" s="1535"/>
      <c r="W523" s="1535"/>
      <c r="X523" s="1535"/>
      <c r="Y523" s="1835"/>
      <c r="Z523" s="1535"/>
      <c r="AA523" s="1535"/>
      <c r="AZ523" s="1893"/>
      <c r="BE523" s="1588"/>
      <c r="BF523" s="21"/>
      <c r="BG523" s="21"/>
      <c r="BH523" s="1536"/>
      <c r="BI523" s="1536"/>
      <c r="BJ523" s="436"/>
    </row>
    <row r="524" spans="14:62" s="20" customFormat="1" x14ac:dyDescent="0.2">
      <c r="N524" s="1607"/>
      <c r="Q524" s="684"/>
      <c r="R524" s="1534"/>
      <c r="T524" s="1588"/>
      <c r="U524" s="1588"/>
      <c r="V524" s="1535"/>
      <c r="W524" s="1535"/>
      <c r="X524" s="1535"/>
      <c r="Y524" s="1835"/>
      <c r="Z524" s="1535"/>
      <c r="AA524" s="1535"/>
      <c r="AZ524" s="1893"/>
      <c r="BE524" s="1588"/>
      <c r="BF524" s="21"/>
      <c r="BG524" s="21"/>
      <c r="BH524" s="1536"/>
      <c r="BI524" s="1536"/>
      <c r="BJ524" s="436"/>
    </row>
    <row r="525" spans="14:62" s="20" customFormat="1" x14ac:dyDescent="0.2">
      <c r="N525" s="1607"/>
      <c r="Q525" s="684"/>
      <c r="R525" s="1534"/>
      <c r="T525" s="1588"/>
      <c r="U525" s="1588"/>
      <c r="V525" s="1535"/>
      <c r="W525" s="1535"/>
      <c r="X525" s="1535"/>
      <c r="Y525" s="1835"/>
      <c r="Z525" s="1535"/>
      <c r="AA525" s="1535"/>
      <c r="AZ525" s="1893"/>
      <c r="BE525" s="1588"/>
      <c r="BF525" s="21"/>
      <c r="BG525" s="21"/>
      <c r="BH525" s="1536"/>
      <c r="BI525" s="1536"/>
      <c r="BJ525" s="436"/>
    </row>
    <row r="526" spans="14:62" s="20" customFormat="1" x14ac:dyDescent="0.2">
      <c r="N526" s="1607"/>
      <c r="Q526" s="684"/>
      <c r="R526" s="1534"/>
      <c r="T526" s="1588"/>
      <c r="U526" s="1588"/>
      <c r="V526" s="1535"/>
      <c r="W526" s="1535"/>
      <c r="X526" s="1535"/>
      <c r="Y526" s="1835"/>
      <c r="Z526" s="1535"/>
      <c r="AA526" s="1535"/>
      <c r="AZ526" s="1893"/>
      <c r="BE526" s="1588"/>
      <c r="BF526" s="21"/>
      <c r="BG526" s="21"/>
      <c r="BH526" s="1536"/>
      <c r="BI526" s="1536"/>
      <c r="BJ526" s="436"/>
    </row>
    <row r="527" spans="14:62" s="20" customFormat="1" x14ac:dyDescent="0.2">
      <c r="N527" s="1607"/>
      <c r="Q527" s="684"/>
      <c r="R527" s="1534"/>
      <c r="T527" s="1588"/>
      <c r="U527" s="1588"/>
      <c r="V527" s="1535"/>
      <c r="W527" s="1535"/>
      <c r="X527" s="1535"/>
      <c r="Y527" s="1835"/>
      <c r="Z527" s="1535"/>
      <c r="AA527" s="1535"/>
      <c r="AZ527" s="1893"/>
      <c r="BE527" s="1588"/>
      <c r="BF527" s="21"/>
      <c r="BG527" s="21"/>
      <c r="BH527" s="1536"/>
      <c r="BI527" s="1536"/>
      <c r="BJ527" s="436"/>
    </row>
    <row r="528" spans="14:62" s="20" customFormat="1" x14ac:dyDescent="0.2">
      <c r="N528" s="1607"/>
      <c r="Q528" s="684"/>
      <c r="R528" s="1534"/>
      <c r="T528" s="1588"/>
      <c r="U528" s="1588"/>
      <c r="V528" s="1535"/>
      <c r="W528" s="1535"/>
      <c r="X528" s="1535"/>
      <c r="Y528" s="1835"/>
      <c r="Z528" s="1535"/>
      <c r="AA528" s="1535"/>
      <c r="AZ528" s="1893"/>
      <c r="BE528" s="1588"/>
      <c r="BF528" s="21"/>
      <c r="BG528" s="21"/>
      <c r="BH528" s="1536"/>
      <c r="BI528" s="1536"/>
      <c r="BJ528" s="436"/>
    </row>
    <row r="529" spans="14:62" s="20" customFormat="1" x14ac:dyDescent="0.2">
      <c r="N529" s="1607"/>
      <c r="Q529" s="684"/>
      <c r="R529" s="1534"/>
      <c r="T529" s="1588"/>
      <c r="U529" s="1588"/>
      <c r="V529" s="1535"/>
      <c r="W529" s="1535"/>
      <c r="X529" s="1535"/>
      <c r="Y529" s="1835"/>
      <c r="Z529" s="1535"/>
      <c r="AA529" s="1535"/>
      <c r="AZ529" s="1893"/>
      <c r="BE529" s="1588"/>
      <c r="BF529" s="21"/>
      <c r="BG529" s="21"/>
      <c r="BH529" s="1536"/>
      <c r="BI529" s="1536"/>
      <c r="BJ529" s="436"/>
    </row>
    <row r="530" spans="14:62" s="20" customFormat="1" x14ac:dyDescent="0.2">
      <c r="N530" s="1607"/>
      <c r="Q530" s="684"/>
      <c r="R530" s="1534"/>
      <c r="T530" s="1588"/>
      <c r="U530" s="1588"/>
      <c r="V530" s="1535"/>
      <c r="W530" s="1535"/>
      <c r="X530" s="1535"/>
      <c r="Y530" s="1835"/>
      <c r="Z530" s="1535"/>
      <c r="AA530" s="1535"/>
      <c r="AZ530" s="1893"/>
      <c r="BE530" s="1588"/>
      <c r="BF530" s="21"/>
      <c r="BG530" s="21"/>
      <c r="BH530" s="1536"/>
      <c r="BI530" s="1536"/>
      <c r="BJ530" s="436"/>
    </row>
    <row r="531" spans="14:62" s="20" customFormat="1" x14ac:dyDescent="0.2">
      <c r="N531" s="1607"/>
      <c r="Q531" s="684"/>
      <c r="R531" s="1534"/>
      <c r="T531" s="1588"/>
      <c r="U531" s="1588"/>
      <c r="V531" s="1535"/>
      <c r="W531" s="1535"/>
      <c r="X531" s="1535"/>
      <c r="Y531" s="1835"/>
      <c r="Z531" s="1535"/>
      <c r="AA531" s="1535"/>
      <c r="AZ531" s="1893"/>
      <c r="BE531" s="1588"/>
      <c r="BF531" s="21"/>
      <c r="BG531" s="21"/>
      <c r="BH531" s="1536"/>
      <c r="BI531" s="1536"/>
      <c r="BJ531" s="436"/>
    </row>
    <row r="532" spans="14:62" s="20" customFormat="1" x14ac:dyDescent="0.2">
      <c r="N532" s="1607"/>
      <c r="Q532" s="684"/>
      <c r="R532" s="1534"/>
      <c r="T532" s="1588"/>
      <c r="U532" s="1588"/>
      <c r="V532" s="1535"/>
      <c r="W532" s="1535"/>
      <c r="X532" s="1535"/>
      <c r="Y532" s="1835"/>
      <c r="Z532" s="1535"/>
      <c r="AA532" s="1535"/>
      <c r="AZ532" s="1893"/>
      <c r="BE532" s="1588"/>
      <c r="BF532" s="21"/>
      <c r="BG532" s="21"/>
      <c r="BH532" s="1536"/>
      <c r="BI532" s="1536"/>
      <c r="BJ532" s="436"/>
    </row>
    <row r="533" spans="14:62" s="20" customFormat="1" x14ac:dyDescent="0.2">
      <c r="N533" s="1607"/>
      <c r="Q533" s="684"/>
      <c r="R533" s="1534"/>
      <c r="T533" s="1588"/>
      <c r="U533" s="1588"/>
      <c r="V533" s="1535"/>
      <c r="W533" s="1535"/>
      <c r="X533" s="1535"/>
      <c r="Y533" s="1835"/>
      <c r="Z533" s="1535"/>
      <c r="AA533" s="1535"/>
      <c r="AZ533" s="1893"/>
      <c r="BE533" s="1588"/>
      <c r="BF533" s="21"/>
      <c r="BG533" s="21"/>
      <c r="BH533" s="1536"/>
      <c r="BI533" s="1536"/>
      <c r="BJ533" s="436"/>
    </row>
    <row r="534" spans="14:62" s="20" customFormat="1" x14ac:dyDescent="0.2">
      <c r="N534" s="1607"/>
      <c r="Q534" s="684"/>
      <c r="R534" s="1534"/>
      <c r="T534" s="1588"/>
      <c r="U534" s="1588"/>
      <c r="V534" s="1535"/>
      <c r="W534" s="1535"/>
      <c r="X534" s="1535"/>
      <c r="Y534" s="1835"/>
      <c r="Z534" s="1535"/>
      <c r="AA534" s="1535"/>
      <c r="AZ534" s="1893"/>
      <c r="BE534" s="1588"/>
      <c r="BF534" s="21"/>
      <c r="BG534" s="21"/>
      <c r="BH534" s="1536"/>
      <c r="BI534" s="1536"/>
      <c r="BJ534" s="436"/>
    </row>
    <row r="535" spans="14:62" s="20" customFormat="1" x14ac:dyDescent="0.2">
      <c r="N535" s="1607"/>
      <c r="Q535" s="684"/>
      <c r="R535" s="1534"/>
      <c r="T535" s="1588"/>
      <c r="U535" s="1588"/>
      <c r="V535" s="1535"/>
      <c r="W535" s="1535"/>
      <c r="X535" s="1535"/>
      <c r="Y535" s="1835"/>
      <c r="Z535" s="1535"/>
      <c r="AA535" s="1535"/>
      <c r="AZ535" s="1893"/>
      <c r="BE535" s="1588"/>
      <c r="BF535" s="21"/>
      <c r="BG535" s="21"/>
      <c r="BH535" s="1536"/>
      <c r="BI535" s="1536"/>
      <c r="BJ535" s="436"/>
    </row>
    <row r="536" spans="14:62" s="20" customFormat="1" x14ac:dyDescent="0.2">
      <c r="N536" s="1607"/>
      <c r="Q536" s="684"/>
      <c r="R536" s="1534"/>
      <c r="T536" s="1588"/>
      <c r="U536" s="1588"/>
      <c r="V536" s="1535"/>
      <c r="W536" s="1535"/>
      <c r="X536" s="1535"/>
      <c r="Y536" s="1835"/>
      <c r="Z536" s="1535"/>
      <c r="AA536" s="1535"/>
      <c r="AZ536" s="1893"/>
      <c r="BE536" s="1588"/>
      <c r="BF536" s="21"/>
      <c r="BG536" s="21"/>
      <c r="BH536" s="1536"/>
      <c r="BI536" s="1536"/>
      <c r="BJ536" s="436"/>
    </row>
    <row r="537" spans="14:62" s="20" customFormat="1" x14ac:dyDescent="0.2">
      <c r="N537" s="1607"/>
      <c r="Q537" s="684"/>
      <c r="R537" s="1534"/>
      <c r="T537" s="1588"/>
      <c r="U537" s="1588"/>
      <c r="V537" s="1535"/>
      <c r="W537" s="1535"/>
      <c r="X537" s="1535"/>
      <c r="Y537" s="1835"/>
      <c r="Z537" s="1535"/>
      <c r="AA537" s="1535"/>
      <c r="AZ537" s="1893"/>
      <c r="BE537" s="1588"/>
      <c r="BF537" s="21"/>
      <c r="BG537" s="21"/>
      <c r="BH537" s="1536"/>
      <c r="BI537" s="1536"/>
      <c r="BJ537" s="436"/>
    </row>
    <row r="538" spans="14:62" s="20" customFormat="1" x14ac:dyDescent="0.2">
      <c r="N538" s="1607"/>
      <c r="Q538" s="684"/>
      <c r="R538" s="1534"/>
      <c r="T538" s="1588"/>
      <c r="U538" s="1588"/>
      <c r="V538" s="1535"/>
      <c r="W538" s="1535"/>
      <c r="X538" s="1535"/>
      <c r="Y538" s="1835"/>
      <c r="Z538" s="1535"/>
      <c r="AA538" s="1535"/>
      <c r="AZ538" s="1893"/>
      <c r="BE538" s="1588"/>
      <c r="BF538" s="21"/>
      <c r="BG538" s="21"/>
      <c r="BH538" s="1536"/>
      <c r="BI538" s="1536"/>
      <c r="BJ538" s="436"/>
    </row>
    <row r="539" spans="14:62" s="20" customFormat="1" x14ac:dyDescent="0.2">
      <c r="N539" s="1607"/>
      <c r="Q539" s="684"/>
      <c r="R539" s="1534"/>
      <c r="T539" s="1588"/>
      <c r="U539" s="1588"/>
      <c r="V539" s="1535"/>
      <c r="W539" s="1535"/>
      <c r="X539" s="1535"/>
      <c r="Y539" s="1835"/>
      <c r="Z539" s="1535"/>
      <c r="AA539" s="1535"/>
      <c r="AZ539" s="1893"/>
      <c r="BE539" s="1588"/>
      <c r="BF539" s="21"/>
      <c r="BG539" s="21"/>
      <c r="BH539" s="1536"/>
      <c r="BI539" s="1536"/>
      <c r="BJ539" s="436"/>
    </row>
    <row r="540" spans="14:62" s="20" customFormat="1" x14ac:dyDescent="0.2">
      <c r="N540" s="1607"/>
      <c r="Q540" s="684"/>
      <c r="R540" s="1534"/>
      <c r="T540" s="1588"/>
      <c r="U540" s="1588"/>
      <c r="V540" s="1535"/>
      <c r="W540" s="1535"/>
      <c r="X540" s="1535"/>
      <c r="Y540" s="1835"/>
      <c r="Z540" s="1535"/>
      <c r="AA540" s="1535"/>
      <c r="AZ540" s="1893"/>
      <c r="BE540" s="1588"/>
      <c r="BF540" s="21"/>
      <c r="BG540" s="21"/>
      <c r="BH540" s="1536"/>
      <c r="BI540" s="1536"/>
      <c r="BJ540" s="436"/>
    </row>
    <row r="541" spans="14:62" s="20" customFormat="1" x14ac:dyDescent="0.2">
      <c r="N541" s="1607"/>
      <c r="Q541" s="684"/>
      <c r="R541" s="1534"/>
      <c r="T541" s="1588"/>
      <c r="U541" s="1588"/>
      <c r="V541" s="1535"/>
      <c r="W541" s="1535"/>
      <c r="X541" s="1535"/>
      <c r="Y541" s="1835"/>
      <c r="Z541" s="1535"/>
      <c r="AA541" s="1535"/>
      <c r="AZ541" s="1893"/>
      <c r="BE541" s="1588"/>
      <c r="BF541" s="21"/>
      <c r="BG541" s="21"/>
      <c r="BH541" s="1536"/>
      <c r="BI541" s="1536"/>
      <c r="BJ541" s="436"/>
    </row>
    <row r="542" spans="14:62" s="20" customFormat="1" x14ac:dyDescent="0.2">
      <c r="N542" s="1607"/>
      <c r="Q542" s="684"/>
      <c r="R542" s="1534"/>
      <c r="T542" s="1588"/>
      <c r="U542" s="1588"/>
      <c r="V542" s="1535"/>
      <c r="W542" s="1535"/>
      <c r="X542" s="1535"/>
      <c r="Y542" s="1835"/>
      <c r="Z542" s="1535"/>
      <c r="AA542" s="1535"/>
      <c r="AZ542" s="1893"/>
      <c r="BE542" s="1588"/>
      <c r="BF542" s="21"/>
      <c r="BG542" s="21"/>
      <c r="BH542" s="1536"/>
      <c r="BI542" s="1536"/>
      <c r="BJ542" s="436"/>
    </row>
    <row r="543" spans="14:62" s="20" customFormat="1" x14ac:dyDescent="0.2">
      <c r="N543" s="1607"/>
      <c r="Q543" s="684"/>
      <c r="R543" s="1534"/>
      <c r="T543" s="1588"/>
      <c r="U543" s="1588"/>
      <c r="V543" s="1535"/>
      <c r="W543" s="1535"/>
      <c r="X543" s="1535"/>
      <c r="Y543" s="1835"/>
      <c r="Z543" s="1535"/>
      <c r="AA543" s="1535"/>
      <c r="AZ543" s="1893"/>
      <c r="BE543" s="1588"/>
      <c r="BF543" s="21"/>
      <c r="BG543" s="21"/>
      <c r="BH543" s="1536"/>
      <c r="BI543" s="1536"/>
      <c r="BJ543" s="436"/>
    </row>
    <row r="544" spans="14:62" s="20" customFormat="1" x14ac:dyDescent="0.2">
      <c r="N544" s="1607"/>
      <c r="Q544" s="684"/>
      <c r="R544" s="1534"/>
      <c r="T544" s="1588"/>
      <c r="U544" s="1588"/>
      <c r="V544" s="1535"/>
      <c r="W544" s="1535"/>
      <c r="X544" s="1535"/>
      <c r="Y544" s="1835"/>
      <c r="Z544" s="1535"/>
      <c r="AA544" s="1535"/>
      <c r="AZ544" s="1893"/>
      <c r="BE544" s="1588"/>
      <c r="BF544" s="21"/>
      <c r="BG544" s="21"/>
      <c r="BH544" s="1536"/>
      <c r="BI544" s="1536"/>
      <c r="BJ544" s="436"/>
    </row>
    <row r="545" spans="14:62" s="20" customFormat="1" x14ac:dyDescent="0.2">
      <c r="N545" s="1607"/>
      <c r="Q545" s="684"/>
      <c r="R545" s="1534"/>
      <c r="T545" s="1588"/>
      <c r="U545" s="1588"/>
      <c r="V545" s="1535"/>
      <c r="W545" s="1535"/>
      <c r="X545" s="1535"/>
      <c r="Y545" s="1835"/>
      <c r="Z545" s="1535"/>
      <c r="AA545" s="1535"/>
      <c r="AZ545" s="1893"/>
      <c r="BE545" s="1588"/>
      <c r="BF545" s="21"/>
      <c r="BG545" s="21"/>
      <c r="BH545" s="1536"/>
      <c r="BI545" s="1536"/>
      <c r="BJ545" s="436"/>
    </row>
    <row r="546" spans="14:62" s="20" customFormat="1" x14ac:dyDescent="0.2">
      <c r="N546" s="1607"/>
      <c r="Q546" s="684"/>
      <c r="R546" s="1534"/>
      <c r="T546" s="1588"/>
      <c r="U546" s="1588"/>
      <c r="V546" s="1535"/>
      <c r="W546" s="1535"/>
      <c r="X546" s="1535"/>
      <c r="Y546" s="1835"/>
      <c r="Z546" s="1535"/>
      <c r="AA546" s="1535"/>
      <c r="AZ546" s="1893"/>
      <c r="BE546" s="1588"/>
      <c r="BF546" s="21"/>
      <c r="BG546" s="21"/>
      <c r="BH546" s="1536"/>
      <c r="BI546" s="1536"/>
      <c r="BJ546" s="436"/>
    </row>
    <row r="547" spans="14:62" s="20" customFormat="1" x14ac:dyDescent="0.2">
      <c r="N547" s="1607"/>
      <c r="Q547" s="684"/>
      <c r="R547" s="1534"/>
      <c r="T547" s="1588"/>
      <c r="U547" s="1588"/>
      <c r="V547" s="1535"/>
      <c r="W547" s="1535"/>
      <c r="X547" s="1535"/>
      <c r="Y547" s="1835"/>
      <c r="Z547" s="1535"/>
      <c r="AA547" s="1535"/>
      <c r="AZ547" s="1893"/>
      <c r="BE547" s="1588"/>
      <c r="BF547" s="21"/>
      <c r="BG547" s="21"/>
      <c r="BH547" s="1536"/>
      <c r="BI547" s="1536"/>
      <c r="BJ547" s="436"/>
    </row>
    <row r="548" spans="14:62" s="20" customFormat="1" x14ac:dyDescent="0.2">
      <c r="N548" s="1607"/>
      <c r="Q548" s="684"/>
      <c r="R548" s="1534"/>
      <c r="T548" s="1588"/>
      <c r="U548" s="1588"/>
      <c r="V548" s="1535"/>
      <c r="W548" s="1535"/>
      <c r="X548" s="1535"/>
      <c r="Y548" s="1835"/>
      <c r="Z548" s="1535"/>
      <c r="AA548" s="1535"/>
      <c r="AZ548" s="1893"/>
      <c r="BE548" s="1588"/>
      <c r="BF548" s="21"/>
      <c r="BG548" s="21"/>
      <c r="BH548" s="1536"/>
      <c r="BI548" s="1536"/>
      <c r="BJ548" s="436"/>
    </row>
    <row r="549" spans="14:62" s="20" customFormat="1" x14ac:dyDescent="0.2">
      <c r="N549" s="1607"/>
      <c r="Q549" s="684"/>
      <c r="R549" s="1534"/>
      <c r="T549" s="1588"/>
      <c r="U549" s="1588"/>
      <c r="V549" s="1535"/>
      <c r="W549" s="1535"/>
      <c r="X549" s="1535"/>
      <c r="Y549" s="1835"/>
      <c r="Z549" s="1535"/>
      <c r="AA549" s="1535"/>
      <c r="AZ549" s="1893"/>
      <c r="BE549" s="1588"/>
      <c r="BF549" s="21"/>
      <c r="BG549" s="21"/>
      <c r="BH549" s="1536"/>
      <c r="BI549" s="1536"/>
      <c r="BJ549" s="436"/>
    </row>
    <row r="550" spans="14:62" s="20" customFormat="1" x14ac:dyDescent="0.2">
      <c r="N550" s="1607"/>
      <c r="Q550" s="684"/>
      <c r="R550" s="1534"/>
      <c r="T550" s="1588"/>
      <c r="U550" s="1588"/>
      <c r="V550" s="1535"/>
      <c r="W550" s="1535"/>
      <c r="X550" s="1535"/>
      <c r="Y550" s="1835"/>
      <c r="Z550" s="1535"/>
      <c r="AA550" s="1535"/>
      <c r="AZ550" s="1893"/>
      <c r="BE550" s="1588"/>
      <c r="BF550" s="21"/>
      <c r="BG550" s="21"/>
      <c r="BH550" s="1536"/>
      <c r="BI550" s="1536"/>
      <c r="BJ550" s="436"/>
    </row>
    <row r="551" spans="14:62" s="20" customFormat="1" x14ac:dyDescent="0.2">
      <c r="N551" s="1607"/>
      <c r="Q551" s="684"/>
      <c r="R551" s="1534"/>
      <c r="T551" s="1588"/>
      <c r="U551" s="1588"/>
      <c r="V551" s="1535"/>
      <c r="W551" s="1535"/>
      <c r="X551" s="1535"/>
      <c r="Y551" s="1835"/>
      <c r="Z551" s="1535"/>
      <c r="AA551" s="1535"/>
      <c r="AZ551" s="1893"/>
      <c r="BE551" s="1588"/>
      <c r="BF551" s="21"/>
      <c r="BG551" s="21"/>
      <c r="BH551" s="1536"/>
      <c r="BI551" s="1536"/>
      <c r="BJ551" s="436"/>
    </row>
    <row r="552" spans="14:62" s="20" customFormat="1" x14ac:dyDescent="0.2">
      <c r="N552" s="1607"/>
      <c r="Q552" s="684"/>
      <c r="R552" s="1534"/>
      <c r="T552" s="1588"/>
      <c r="U552" s="1588"/>
      <c r="V552" s="1535"/>
      <c r="W552" s="1535"/>
      <c r="X552" s="1535"/>
      <c r="Y552" s="1835"/>
      <c r="Z552" s="1535"/>
      <c r="AA552" s="1535"/>
      <c r="AZ552" s="1893"/>
      <c r="BE552" s="1588"/>
      <c r="BF552" s="21"/>
      <c r="BG552" s="21"/>
      <c r="BH552" s="1536"/>
      <c r="BI552" s="1536"/>
      <c r="BJ552" s="436"/>
    </row>
    <row r="553" spans="14:62" s="20" customFormat="1" x14ac:dyDescent="0.2">
      <c r="N553" s="1607"/>
      <c r="Q553" s="684"/>
      <c r="R553" s="1534"/>
      <c r="T553" s="1588"/>
      <c r="U553" s="1588"/>
      <c r="V553" s="1535"/>
      <c r="W553" s="1535"/>
      <c r="X553" s="1535"/>
      <c r="Y553" s="1835"/>
      <c r="Z553" s="1535"/>
      <c r="AA553" s="1535"/>
      <c r="AZ553" s="1893"/>
      <c r="BE553" s="1588"/>
      <c r="BF553" s="21"/>
      <c r="BG553" s="21"/>
      <c r="BH553" s="1536"/>
      <c r="BI553" s="1536"/>
      <c r="BJ553" s="436"/>
    </row>
    <row r="554" spans="14:62" s="20" customFormat="1" x14ac:dyDescent="0.2">
      <c r="N554" s="1607"/>
      <c r="Q554" s="684"/>
      <c r="R554" s="1534"/>
      <c r="T554" s="1588"/>
      <c r="U554" s="1588"/>
      <c r="V554" s="1535"/>
      <c r="W554" s="1535"/>
      <c r="X554" s="1535"/>
      <c r="Y554" s="1835"/>
      <c r="Z554" s="1535"/>
      <c r="AA554" s="1535"/>
      <c r="AZ554" s="1893"/>
      <c r="BE554" s="1588"/>
      <c r="BF554" s="21"/>
      <c r="BG554" s="21"/>
      <c r="BH554" s="1536"/>
      <c r="BI554" s="1536"/>
      <c r="BJ554" s="436"/>
    </row>
    <row r="555" spans="14:62" s="20" customFormat="1" x14ac:dyDescent="0.2">
      <c r="N555" s="1607"/>
      <c r="Q555" s="684"/>
      <c r="R555" s="1534"/>
      <c r="T555" s="1588"/>
      <c r="U555" s="1588"/>
      <c r="V555" s="1535"/>
      <c r="W555" s="1535"/>
      <c r="X555" s="1535"/>
      <c r="Y555" s="1835"/>
      <c r="Z555" s="1535"/>
      <c r="AA555" s="1535"/>
      <c r="AZ555" s="1893"/>
      <c r="BE555" s="1588"/>
      <c r="BF555" s="21"/>
      <c r="BG555" s="21"/>
      <c r="BH555" s="1536"/>
      <c r="BI555" s="1536"/>
      <c r="BJ555" s="436"/>
    </row>
    <row r="556" spans="14:62" s="20" customFormat="1" x14ac:dyDescent="0.2">
      <c r="N556" s="1607"/>
      <c r="Q556" s="684"/>
      <c r="R556" s="1534"/>
      <c r="T556" s="1588"/>
      <c r="U556" s="1588"/>
      <c r="V556" s="1535"/>
      <c r="W556" s="1535"/>
      <c r="X556" s="1535"/>
      <c r="Y556" s="1835"/>
      <c r="Z556" s="1535"/>
      <c r="AA556" s="1535"/>
      <c r="AZ556" s="1893"/>
      <c r="BE556" s="1588"/>
      <c r="BF556" s="21"/>
      <c r="BG556" s="21"/>
      <c r="BH556" s="1536"/>
      <c r="BI556" s="1536"/>
      <c r="BJ556" s="436"/>
    </row>
    <row r="557" spans="14:62" s="20" customFormat="1" x14ac:dyDescent="0.2">
      <c r="N557" s="1607"/>
      <c r="Q557" s="684"/>
      <c r="R557" s="1534"/>
      <c r="T557" s="1588"/>
      <c r="U557" s="1588"/>
      <c r="V557" s="1535"/>
      <c r="W557" s="1535"/>
      <c r="X557" s="1535"/>
      <c r="Y557" s="1835"/>
      <c r="Z557" s="1535"/>
      <c r="AA557" s="1535"/>
      <c r="AZ557" s="1893"/>
      <c r="BE557" s="1588"/>
      <c r="BF557" s="21"/>
      <c r="BG557" s="21"/>
      <c r="BH557" s="1536"/>
      <c r="BI557" s="1536"/>
      <c r="BJ557" s="436"/>
    </row>
    <row r="558" spans="14:62" s="20" customFormat="1" x14ac:dyDescent="0.2">
      <c r="N558" s="1607"/>
      <c r="Q558" s="684"/>
      <c r="R558" s="1534"/>
      <c r="T558" s="1588"/>
      <c r="U558" s="1588"/>
      <c r="V558" s="1535"/>
      <c r="W558" s="1535"/>
      <c r="X558" s="1535"/>
      <c r="Y558" s="1835"/>
      <c r="Z558" s="1535"/>
      <c r="AA558" s="1535"/>
      <c r="AZ558" s="1893"/>
      <c r="BE558" s="1588"/>
      <c r="BF558" s="21"/>
      <c r="BG558" s="21"/>
      <c r="BH558" s="1536"/>
      <c r="BI558" s="1536"/>
      <c r="BJ558" s="436"/>
    </row>
    <row r="559" spans="14:62" s="20" customFormat="1" x14ac:dyDescent="0.2">
      <c r="N559" s="1607"/>
      <c r="Q559" s="684"/>
      <c r="R559" s="1534"/>
      <c r="T559" s="1588"/>
      <c r="U559" s="1588"/>
      <c r="V559" s="1535"/>
      <c r="W559" s="1535"/>
      <c r="X559" s="1535"/>
      <c r="Y559" s="1835"/>
      <c r="Z559" s="1535"/>
      <c r="AA559" s="1535"/>
      <c r="AZ559" s="1893"/>
      <c r="BE559" s="1588"/>
      <c r="BF559" s="21"/>
      <c r="BG559" s="21"/>
      <c r="BH559" s="1536"/>
      <c r="BI559" s="1536"/>
      <c r="BJ559" s="436"/>
    </row>
    <row r="560" spans="14:62" s="20" customFormat="1" x14ac:dyDescent="0.2">
      <c r="N560" s="1607"/>
      <c r="Q560" s="684"/>
      <c r="R560" s="1534"/>
      <c r="T560" s="1588"/>
      <c r="U560" s="1588"/>
      <c r="V560" s="1535"/>
      <c r="W560" s="1535"/>
      <c r="X560" s="1535"/>
      <c r="Y560" s="1835"/>
      <c r="Z560" s="1535"/>
      <c r="AA560" s="1535"/>
      <c r="AZ560" s="1893"/>
      <c r="BE560" s="1588"/>
      <c r="BF560" s="21"/>
      <c r="BG560" s="21"/>
      <c r="BH560" s="1536"/>
      <c r="BI560" s="1536"/>
      <c r="BJ560" s="436"/>
    </row>
    <row r="561" spans="14:62" s="20" customFormat="1" x14ac:dyDescent="0.2">
      <c r="N561" s="1607"/>
      <c r="Q561" s="684"/>
      <c r="R561" s="1534"/>
      <c r="T561" s="1588"/>
      <c r="U561" s="1588"/>
      <c r="V561" s="1535"/>
      <c r="W561" s="1535"/>
      <c r="X561" s="1535"/>
      <c r="Y561" s="1835"/>
      <c r="Z561" s="1535"/>
      <c r="AA561" s="1535"/>
      <c r="AZ561" s="1893"/>
      <c r="BE561" s="1588"/>
      <c r="BF561" s="21"/>
      <c r="BG561" s="21"/>
      <c r="BH561" s="1536"/>
      <c r="BI561" s="1536"/>
      <c r="BJ561" s="436"/>
    </row>
    <row r="562" spans="14:62" s="20" customFormat="1" x14ac:dyDescent="0.2">
      <c r="N562" s="1607"/>
      <c r="Q562" s="684"/>
      <c r="R562" s="1534"/>
      <c r="T562" s="1588"/>
      <c r="U562" s="1588"/>
      <c r="V562" s="1535"/>
      <c r="W562" s="1535"/>
      <c r="X562" s="1535"/>
      <c r="Y562" s="1835"/>
      <c r="Z562" s="1535"/>
      <c r="AA562" s="1535"/>
      <c r="AZ562" s="1893"/>
      <c r="BE562" s="1588"/>
      <c r="BF562" s="21"/>
      <c r="BG562" s="21"/>
      <c r="BH562" s="1536"/>
      <c r="BI562" s="1536"/>
      <c r="BJ562" s="436"/>
    </row>
    <row r="563" spans="14:62" s="20" customFormat="1" x14ac:dyDescent="0.2">
      <c r="N563" s="1607"/>
      <c r="Q563" s="684"/>
      <c r="R563" s="1534"/>
      <c r="T563" s="1588"/>
      <c r="U563" s="1588"/>
      <c r="V563" s="1535"/>
      <c r="W563" s="1535"/>
      <c r="X563" s="1535"/>
      <c r="Y563" s="1835"/>
      <c r="Z563" s="1535"/>
      <c r="AA563" s="1535"/>
      <c r="AZ563" s="1893"/>
      <c r="BE563" s="1588"/>
      <c r="BF563" s="21"/>
      <c r="BG563" s="21"/>
      <c r="BH563" s="1536"/>
      <c r="BI563" s="1536"/>
      <c r="BJ563" s="436"/>
    </row>
    <row r="564" spans="14:62" s="20" customFormat="1" x14ac:dyDescent="0.2">
      <c r="N564" s="1607"/>
      <c r="Q564" s="684"/>
      <c r="R564" s="1534"/>
      <c r="T564" s="1588"/>
      <c r="U564" s="1588"/>
      <c r="V564" s="1535"/>
      <c r="W564" s="1535"/>
      <c r="X564" s="1535"/>
      <c r="Y564" s="1835"/>
      <c r="Z564" s="1535"/>
      <c r="AA564" s="1535"/>
      <c r="AZ564" s="1893"/>
      <c r="BE564" s="1588"/>
      <c r="BF564" s="21"/>
      <c r="BG564" s="21"/>
      <c r="BH564" s="1536"/>
      <c r="BI564" s="1536"/>
      <c r="BJ564" s="436"/>
    </row>
    <row r="565" spans="14:62" s="20" customFormat="1" x14ac:dyDescent="0.2">
      <c r="N565" s="1607"/>
      <c r="Q565" s="684"/>
      <c r="R565" s="1534"/>
      <c r="T565" s="1588"/>
      <c r="U565" s="1588"/>
      <c r="V565" s="1535"/>
      <c r="W565" s="1535"/>
      <c r="X565" s="1535"/>
      <c r="Y565" s="1835"/>
      <c r="Z565" s="1535"/>
      <c r="AA565" s="1535"/>
      <c r="AZ565" s="1893"/>
      <c r="BE565" s="1588"/>
      <c r="BF565" s="21"/>
      <c r="BG565" s="21"/>
      <c r="BH565" s="1536"/>
      <c r="BI565" s="1536"/>
      <c r="BJ565" s="436"/>
    </row>
    <row r="566" spans="14:62" s="20" customFormat="1" x14ac:dyDescent="0.2">
      <c r="N566" s="1607"/>
      <c r="Q566" s="684"/>
      <c r="R566" s="1534"/>
      <c r="T566" s="1588"/>
      <c r="U566" s="1588"/>
      <c r="V566" s="1535"/>
      <c r="W566" s="1535"/>
      <c r="X566" s="1535"/>
      <c r="Y566" s="1835"/>
      <c r="Z566" s="1535"/>
      <c r="AA566" s="1535"/>
      <c r="AZ566" s="1893"/>
      <c r="BE566" s="1588"/>
      <c r="BF566" s="21"/>
      <c r="BG566" s="21"/>
      <c r="BH566" s="1536"/>
      <c r="BI566" s="1536"/>
      <c r="BJ566" s="436"/>
    </row>
    <row r="567" spans="14:62" s="20" customFormat="1" x14ac:dyDescent="0.2">
      <c r="N567" s="1607"/>
      <c r="Q567" s="684"/>
      <c r="R567" s="1534"/>
      <c r="T567" s="1588"/>
      <c r="U567" s="1588"/>
      <c r="V567" s="1535"/>
      <c r="W567" s="1535"/>
      <c r="X567" s="1535"/>
      <c r="Y567" s="1835"/>
      <c r="Z567" s="1535"/>
      <c r="AA567" s="1535"/>
      <c r="AZ567" s="1893"/>
      <c r="BE567" s="1588"/>
      <c r="BF567" s="21"/>
      <c r="BG567" s="21"/>
      <c r="BH567" s="1536"/>
      <c r="BI567" s="1536"/>
      <c r="BJ567" s="436"/>
    </row>
    <row r="568" spans="14:62" s="20" customFormat="1" x14ac:dyDescent="0.2">
      <c r="N568" s="1607"/>
      <c r="Q568" s="684"/>
      <c r="R568" s="1534"/>
      <c r="T568" s="1588"/>
      <c r="U568" s="1588"/>
      <c r="V568" s="1535"/>
      <c r="W568" s="1535"/>
      <c r="X568" s="1535"/>
      <c r="Y568" s="1835"/>
      <c r="Z568" s="1535"/>
      <c r="AA568" s="1535"/>
      <c r="AZ568" s="1893"/>
      <c r="BE568" s="1588"/>
      <c r="BF568" s="21"/>
      <c r="BG568" s="21"/>
      <c r="BH568" s="1536"/>
      <c r="BI568" s="1536"/>
      <c r="BJ568" s="436"/>
    </row>
    <row r="569" spans="14:62" s="20" customFormat="1" x14ac:dyDescent="0.2">
      <c r="N569" s="1607"/>
      <c r="Q569" s="684"/>
      <c r="R569" s="1534"/>
      <c r="T569" s="1588"/>
      <c r="U569" s="1588"/>
      <c r="V569" s="1535"/>
      <c r="W569" s="1535"/>
      <c r="X569" s="1535"/>
      <c r="Y569" s="1835"/>
      <c r="Z569" s="1535"/>
      <c r="AA569" s="1535"/>
      <c r="AZ569" s="1893"/>
      <c r="BE569" s="1588"/>
      <c r="BF569" s="21"/>
      <c r="BG569" s="21"/>
      <c r="BH569" s="1536"/>
      <c r="BI569" s="1536"/>
      <c r="BJ569" s="436"/>
    </row>
    <row r="570" spans="14:62" s="20" customFormat="1" x14ac:dyDescent="0.2">
      <c r="N570" s="1607"/>
      <c r="Q570" s="684"/>
      <c r="R570" s="1534"/>
      <c r="T570" s="1588"/>
      <c r="U570" s="1588"/>
      <c r="V570" s="1535"/>
      <c r="W570" s="1535"/>
      <c r="X570" s="1535"/>
      <c r="Y570" s="1835"/>
      <c r="Z570" s="1535"/>
      <c r="AA570" s="1535"/>
      <c r="AZ570" s="1893"/>
      <c r="BE570" s="1588"/>
      <c r="BF570" s="21"/>
      <c r="BG570" s="21"/>
      <c r="BH570" s="1536"/>
      <c r="BI570" s="1536"/>
      <c r="BJ570" s="436"/>
    </row>
    <row r="571" spans="14:62" s="20" customFormat="1" x14ac:dyDescent="0.2">
      <c r="N571" s="1607"/>
      <c r="Q571" s="684"/>
      <c r="R571" s="1534"/>
      <c r="T571" s="1588"/>
      <c r="U571" s="1588"/>
      <c r="V571" s="1535"/>
      <c r="W571" s="1535"/>
      <c r="X571" s="1535"/>
      <c r="Y571" s="1835"/>
      <c r="Z571" s="1535"/>
      <c r="AA571" s="1535"/>
      <c r="AZ571" s="1893"/>
      <c r="BE571" s="1588"/>
      <c r="BF571" s="21"/>
      <c r="BG571" s="21"/>
      <c r="BH571" s="1536"/>
      <c r="BI571" s="1536"/>
      <c r="BJ571" s="436"/>
    </row>
    <row r="572" spans="14:62" s="20" customFormat="1" x14ac:dyDescent="0.2">
      <c r="N572" s="1607"/>
      <c r="Q572" s="684"/>
      <c r="R572" s="1534"/>
      <c r="T572" s="1588"/>
      <c r="U572" s="1588"/>
      <c r="V572" s="1535"/>
      <c r="W572" s="1535"/>
      <c r="X572" s="1535"/>
      <c r="Y572" s="1835"/>
      <c r="Z572" s="1535"/>
      <c r="AA572" s="1535"/>
      <c r="AZ572" s="1893"/>
      <c r="BE572" s="1588"/>
      <c r="BF572" s="21"/>
      <c r="BG572" s="21"/>
      <c r="BH572" s="1536"/>
      <c r="BI572" s="1536"/>
      <c r="BJ572" s="436"/>
    </row>
    <row r="573" spans="14:62" s="20" customFormat="1" x14ac:dyDescent="0.2">
      <c r="N573" s="1607"/>
      <c r="Q573" s="684"/>
      <c r="R573" s="1534"/>
      <c r="T573" s="1588"/>
      <c r="U573" s="1588"/>
      <c r="V573" s="1535"/>
      <c r="W573" s="1535"/>
      <c r="X573" s="1535"/>
      <c r="Y573" s="1835"/>
      <c r="Z573" s="1535"/>
      <c r="AA573" s="1535"/>
      <c r="AZ573" s="1893"/>
      <c r="BE573" s="1588"/>
      <c r="BF573" s="21"/>
      <c r="BG573" s="21"/>
      <c r="BH573" s="1536"/>
      <c r="BI573" s="1536"/>
      <c r="BJ573" s="436"/>
    </row>
    <row r="574" spans="14:62" s="20" customFormat="1" x14ac:dyDescent="0.2">
      <c r="N574" s="1607"/>
      <c r="Q574" s="684"/>
      <c r="R574" s="1534"/>
      <c r="T574" s="1588"/>
      <c r="U574" s="1588"/>
      <c r="V574" s="1535"/>
      <c r="W574" s="1535"/>
      <c r="X574" s="1535"/>
      <c r="Y574" s="1835"/>
      <c r="Z574" s="1535"/>
      <c r="AA574" s="1535"/>
      <c r="AZ574" s="1893"/>
      <c r="BE574" s="1588"/>
      <c r="BF574" s="21"/>
      <c r="BG574" s="21"/>
      <c r="BH574" s="1536"/>
      <c r="BI574" s="1536"/>
      <c r="BJ574" s="436"/>
    </row>
    <row r="575" spans="14:62" s="20" customFormat="1" x14ac:dyDescent="0.2">
      <c r="N575" s="1607"/>
      <c r="Q575" s="684"/>
      <c r="R575" s="1534"/>
      <c r="T575" s="1588"/>
      <c r="U575" s="1588"/>
      <c r="V575" s="1535"/>
      <c r="W575" s="1535"/>
      <c r="X575" s="1535"/>
      <c r="Y575" s="1835"/>
      <c r="Z575" s="1535"/>
      <c r="AA575" s="1535"/>
      <c r="AZ575" s="1893"/>
      <c r="BE575" s="1588"/>
      <c r="BF575" s="21"/>
      <c r="BG575" s="21"/>
      <c r="BH575" s="1536"/>
      <c r="BI575" s="1536"/>
      <c r="BJ575" s="436"/>
    </row>
    <row r="576" spans="14:62" s="20" customFormat="1" x14ac:dyDescent="0.2">
      <c r="N576" s="1607"/>
      <c r="Q576" s="684"/>
      <c r="R576" s="1534"/>
      <c r="T576" s="1588"/>
      <c r="U576" s="1588"/>
      <c r="V576" s="1535"/>
      <c r="W576" s="1535"/>
      <c r="X576" s="1535"/>
      <c r="Y576" s="1835"/>
      <c r="Z576" s="1535"/>
      <c r="AA576" s="1535"/>
      <c r="AZ576" s="1893"/>
      <c r="BE576" s="1588"/>
      <c r="BF576" s="21"/>
      <c r="BG576" s="21"/>
      <c r="BH576" s="1536"/>
      <c r="BI576" s="1536"/>
      <c r="BJ576" s="436"/>
    </row>
    <row r="577" spans="14:62" s="20" customFormat="1" x14ac:dyDescent="0.2">
      <c r="N577" s="1607"/>
      <c r="Q577" s="684"/>
      <c r="R577" s="1534"/>
      <c r="T577" s="1588"/>
      <c r="U577" s="1588"/>
      <c r="V577" s="1535"/>
      <c r="W577" s="1535"/>
      <c r="X577" s="1535"/>
      <c r="Y577" s="1835"/>
      <c r="Z577" s="1535"/>
      <c r="AA577" s="1535"/>
      <c r="AZ577" s="1893"/>
      <c r="BE577" s="1588"/>
      <c r="BF577" s="21"/>
      <c r="BG577" s="21"/>
      <c r="BH577" s="1536"/>
      <c r="BI577" s="1536"/>
      <c r="BJ577" s="436"/>
    </row>
    <row r="578" spans="14:62" s="20" customFormat="1" x14ac:dyDescent="0.2">
      <c r="N578" s="1607"/>
      <c r="Q578" s="684"/>
      <c r="R578" s="1534"/>
      <c r="T578" s="1588"/>
      <c r="U578" s="1588"/>
      <c r="V578" s="1535"/>
      <c r="W578" s="1535"/>
      <c r="X578" s="1535"/>
      <c r="Y578" s="1835"/>
      <c r="Z578" s="1535"/>
      <c r="AA578" s="1535"/>
      <c r="AZ578" s="1893"/>
      <c r="BE578" s="1588"/>
      <c r="BF578" s="21"/>
      <c r="BG578" s="21"/>
      <c r="BH578" s="1536"/>
      <c r="BI578" s="1536"/>
      <c r="BJ578" s="436"/>
    </row>
    <row r="579" spans="14:62" s="20" customFormat="1" x14ac:dyDescent="0.2">
      <c r="N579" s="1607"/>
      <c r="Q579" s="684"/>
      <c r="R579" s="1534"/>
      <c r="T579" s="1588"/>
      <c r="U579" s="1588"/>
      <c r="V579" s="1535"/>
      <c r="W579" s="1535"/>
      <c r="X579" s="1535"/>
      <c r="Y579" s="1835"/>
      <c r="Z579" s="1535"/>
      <c r="AA579" s="1535"/>
      <c r="AZ579" s="1893"/>
      <c r="BE579" s="1588"/>
      <c r="BF579" s="21"/>
      <c r="BG579" s="21"/>
      <c r="BH579" s="1536"/>
      <c r="BI579" s="1536"/>
      <c r="BJ579" s="436"/>
    </row>
    <row r="580" spans="14:62" s="20" customFormat="1" x14ac:dyDescent="0.2">
      <c r="N580" s="1607"/>
      <c r="Q580" s="684"/>
      <c r="R580" s="1534"/>
      <c r="T580" s="1588"/>
      <c r="U580" s="1588"/>
      <c r="V580" s="1535"/>
      <c r="W580" s="1535"/>
      <c r="X580" s="1535"/>
      <c r="Y580" s="1835"/>
      <c r="Z580" s="1535"/>
      <c r="AA580" s="1535"/>
      <c r="AZ580" s="1893"/>
      <c r="BE580" s="1588"/>
      <c r="BF580" s="21"/>
      <c r="BG580" s="21"/>
      <c r="BH580" s="1536"/>
      <c r="BI580" s="1536"/>
      <c r="BJ580" s="436"/>
    </row>
    <row r="581" spans="14:62" s="20" customFormat="1" x14ac:dyDescent="0.2">
      <c r="N581" s="1607"/>
      <c r="Q581" s="684"/>
      <c r="R581" s="1534"/>
      <c r="T581" s="1588"/>
      <c r="U581" s="1588"/>
      <c r="V581" s="1535"/>
      <c r="W581" s="1535"/>
      <c r="X581" s="1535"/>
      <c r="Y581" s="1835"/>
      <c r="Z581" s="1535"/>
      <c r="AA581" s="1535"/>
      <c r="AZ581" s="1893"/>
      <c r="BE581" s="1588"/>
      <c r="BF581" s="21"/>
      <c r="BG581" s="21"/>
      <c r="BH581" s="1536"/>
      <c r="BI581" s="1536"/>
      <c r="BJ581" s="436"/>
    </row>
    <row r="582" spans="14:62" s="20" customFormat="1" x14ac:dyDescent="0.2">
      <c r="N582" s="1607"/>
      <c r="Q582" s="684"/>
      <c r="R582" s="1534"/>
      <c r="T582" s="1588"/>
      <c r="U582" s="1588"/>
      <c r="V582" s="1535"/>
      <c r="W582" s="1535"/>
      <c r="X582" s="1535"/>
      <c r="Y582" s="1835"/>
      <c r="Z582" s="1535"/>
      <c r="AA582" s="1535"/>
      <c r="AZ582" s="1893"/>
      <c r="BE582" s="1588"/>
      <c r="BF582" s="21"/>
      <c r="BG582" s="21"/>
      <c r="BH582" s="1536"/>
      <c r="BI582" s="1536"/>
      <c r="BJ582" s="436"/>
    </row>
    <row r="583" spans="14:62" s="20" customFormat="1" x14ac:dyDescent="0.2">
      <c r="N583" s="1607"/>
      <c r="Q583" s="684"/>
      <c r="R583" s="1534"/>
      <c r="T583" s="1588"/>
      <c r="U583" s="1588"/>
      <c r="V583" s="1535"/>
      <c r="W583" s="1535"/>
      <c r="X583" s="1535"/>
      <c r="Y583" s="1835"/>
      <c r="Z583" s="1535"/>
      <c r="AA583" s="1535"/>
      <c r="AZ583" s="1893"/>
      <c r="BE583" s="1588"/>
      <c r="BF583" s="21"/>
      <c r="BG583" s="21"/>
      <c r="BH583" s="1536"/>
      <c r="BI583" s="1536"/>
      <c r="BJ583" s="436"/>
    </row>
    <row r="584" spans="14:62" s="20" customFormat="1" x14ac:dyDescent="0.2">
      <c r="N584" s="1607"/>
      <c r="Q584" s="684"/>
      <c r="R584" s="1534"/>
      <c r="T584" s="1588"/>
      <c r="U584" s="1588"/>
      <c r="V584" s="1535"/>
      <c r="W584" s="1535"/>
      <c r="X584" s="1535"/>
      <c r="Y584" s="1835"/>
      <c r="Z584" s="1535"/>
      <c r="AA584" s="1535"/>
      <c r="AZ584" s="1893"/>
      <c r="BE584" s="1588"/>
      <c r="BF584" s="21"/>
      <c r="BG584" s="21"/>
      <c r="BH584" s="1536"/>
      <c r="BI584" s="1536"/>
      <c r="BJ584" s="436"/>
    </row>
    <row r="585" spans="14:62" s="20" customFormat="1" x14ac:dyDescent="0.2">
      <c r="N585" s="1607"/>
      <c r="Q585" s="684"/>
      <c r="R585" s="1534"/>
      <c r="T585" s="1588"/>
      <c r="U585" s="1588"/>
      <c r="V585" s="1535"/>
      <c r="W585" s="1535"/>
      <c r="X585" s="1535"/>
      <c r="Y585" s="1835"/>
      <c r="Z585" s="1535"/>
      <c r="AA585" s="1535"/>
      <c r="AZ585" s="1893"/>
      <c r="BE585" s="1588"/>
      <c r="BF585" s="21"/>
      <c r="BG585" s="21"/>
      <c r="BH585" s="1536"/>
      <c r="BI585" s="1536"/>
      <c r="BJ585" s="436"/>
    </row>
    <row r="586" spans="14:62" s="20" customFormat="1" x14ac:dyDescent="0.2">
      <c r="N586" s="1607"/>
      <c r="Q586" s="684"/>
      <c r="R586" s="1534"/>
      <c r="T586" s="1588"/>
      <c r="U586" s="1588"/>
      <c r="V586" s="1535"/>
      <c r="W586" s="1535"/>
      <c r="X586" s="1535"/>
      <c r="Y586" s="1835"/>
      <c r="Z586" s="1535"/>
      <c r="AA586" s="1535"/>
      <c r="AZ586" s="1893"/>
      <c r="BE586" s="1588"/>
      <c r="BF586" s="21"/>
      <c r="BG586" s="21"/>
      <c r="BH586" s="1536"/>
      <c r="BI586" s="1536"/>
      <c r="BJ586" s="436"/>
    </row>
    <row r="587" spans="14:62" s="20" customFormat="1" x14ac:dyDescent="0.2">
      <c r="N587" s="1607"/>
      <c r="Q587" s="684"/>
      <c r="R587" s="1534"/>
      <c r="T587" s="1588"/>
      <c r="U587" s="1588"/>
      <c r="V587" s="1535"/>
      <c r="W587" s="1535"/>
      <c r="X587" s="1535"/>
      <c r="Y587" s="1835"/>
      <c r="Z587" s="1535"/>
      <c r="AA587" s="1535"/>
      <c r="AZ587" s="1893"/>
      <c r="BE587" s="1588"/>
      <c r="BF587" s="21"/>
      <c r="BG587" s="21"/>
      <c r="BH587" s="1536"/>
      <c r="BI587" s="1536"/>
      <c r="BJ587" s="436"/>
    </row>
    <row r="588" spans="14:62" s="20" customFormat="1" x14ac:dyDescent="0.2">
      <c r="N588" s="1607"/>
      <c r="Q588" s="684"/>
      <c r="R588" s="1534"/>
      <c r="T588" s="1588"/>
      <c r="U588" s="1588"/>
      <c r="V588" s="1535"/>
      <c r="W588" s="1535"/>
      <c r="X588" s="1535"/>
      <c r="Y588" s="1835"/>
      <c r="Z588" s="1535"/>
      <c r="AA588" s="1535"/>
      <c r="AZ588" s="1893"/>
      <c r="BE588" s="1588"/>
      <c r="BF588" s="21"/>
      <c r="BG588" s="21"/>
      <c r="BH588" s="1536"/>
      <c r="BI588" s="1536"/>
      <c r="BJ588" s="436"/>
    </row>
    <row r="589" spans="14:62" s="20" customFormat="1" x14ac:dyDescent="0.2">
      <c r="N589" s="1607"/>
      <c r="Q589" s="684"/>
      <c r="R589" s="1534"/>
      <c r="T589" s="1588"/>
      <c r="U589" s="1588"/>
      <c r="V589" s="1535"/>
      <c r="W589" s="1535"/>
      <c r="X589" s="1535"/>
      <c r="Y589" s="1835"/>
      <c r="Z589" s="1535"/>
      <c r="AA589" s="1535"/>
      <c r="AZ589" s="1893"/>
      <c r="BE589" s="1588"/>
      <c r="BF589" s="21"/>
      <c r="BG589" s="21"/>
      <c r="BH589" s="1536"/>
      <c r="BI589" s="1536"/>
      <c r="BJ589" s="436"/>
    </row>
    <row r="590" spans="14:62" s="20" customFormat="1" x14ac:dyDescent="0.2">
      <c r="N590" s="1607"/>
      <c r="Q590" s="684"/>
      <c r="R590" s="1534"/>
      <c r="T590" s="1588"/>
      <c r="U590" s="1588"/>
      <c r="V590" s="1535"/>
      <c r="W590" s="1535"/>
      <c r="X590" s="1535"/>
      <c r="Y590" s="1835"/>
      <c r="Z590" s="1535"/>
      <c r="AA590" s="1535"/>
      <c r="AZ590" s="1893"/>
      <c r="BE590" s="1588"/>
      <c r="BF590" s="21"/>
      <c r="BG590" s="21"/>
      <c r="BH590" s="1536"/>
      <c r="BI590" s="1536"/>
      <c r="BJ590" s="436"/>
    </row>
    <row r="591" spans="14:62" s="20" customFormat="1" x14ac:dyDescent="0.2">
      <c r="N591" s="1607"/>
      <c r="Q591" s="684"/>
      <c r="R591" s="1534"/>
      <c r="T591" s="1588"/>
      <c r="U591" s="1588"/>
      <c r="V591" s="1535"/>
      <c r="W591" s="1535"/>
      <c r="X591" s="1535"/>
      <c r="Y591" s="1835"/>
      <c r="Z591" s="1535"/>
      <c r="AA591" s="1535"/>
      <c r="AZ591" s="1893"/>
      <c r="BE591" s="1588"/>
      <c r="BF591" s="21"/>
      <c r="BG591" s="21"/>
      <c r="BH591" s="1536"/>
      <c r="BI591" s="1536"/>
      <c r="BJ591" s="436"/>
    </row>
    <row r="592" spans="14:62" s="20" customFormat="1" x14ac:dyDescent="0.2">
      <c r="N592" s="1607"/>
      <c r="Q592" s="684"/>
      <c r="R592" s="1534"/>
      <c r="T592" s="1588"/>
      <c r="U592" s="1588"/>
      <c r="V592" s="1535"/>
      <c r="W592" s="1535"/>
      <c r="X592" s="1535"/>
      <c r="Y592" s="1835"/>
      <c r="Z592" s="1535"/>
      <c r="AA592" s="1535"/>
      <c r="AZ592" s="1893"/>
      <c r="BE592" s="1588"/>
      <c r="BF592" s="21"/>
      <c r="BG592" s="21"/>
      <c r="BH592" s="1536"/>
      <c r="BI592" s="1536"/>
      <c r="BJ592" s="436"/>
    </row>
    <row r="593" spans="14:62" s="20" customFormat="1" x14ac:dyDescent="0.2">
      <c r="N593" s="1607"/>
      <c r="Q593" s="684"/>
      <c r="R593" s="1534"/>
      <c r="T593" s="1588"/>
      <c r="U593" s="1588"/>
      <c r="V593" s="1535"/>
      <c r="W593" s="1535"/>
      <c r="X593" s="1535"/>
      <c r="Y593" s="1835"/>
      <c r="Z593" s="1535"/>
      <c r="AA593" s="1535"/>
      <c r="AZ593" s="1893"/>
      <c r="BE593" s="1588"/>
      <c r="BF593" s="21"/>
      <c r="BG593" s="21"/>
      <c r="BH593" s="1536"/>
      <c r="BI593" s="1536"/>
      <c r="BJ593" s="436"/>
    </row>
    <row r="594" spans="14:62" s="20" customFormat="1" x14ac:dyDescent="0.2">
      <c r="N594" s="1607"/>
      <c r="Q594" s="684"/>
      <c r="R594" s="1534"/>
      <c r="T594" s="1588"/>
      <c r="U594" s="1588"/>
      <c r="V594" s="1535"/>
      <c r="W594" s="1535"/>
      <c r="X594" s="1535"/>
      <c r="Y594" s="1835"/>
      <c r="Z594" s="1535"/>
      <c r="AA594" s="1535"/>
      <c r="AZ594" s="1893"/>
      <c r="BE594" s="1588"/>
      <c r="BF594" s="21"/>
      <c r="BG594" s="21"/>
      <c r="BH594" s="1536"/>
      <c r="BI594" s="1536"/>
      <c r="BJ594" s="436"/>
    </row>
    <row r="595" spans="14:62" s="20" customFormat="1" x14ac:dyDescent="0.2">
      <c r="N595" s="1607"/>
      <c r="Q595" s="684"/>
      <c r="R595" s="1534"/>
      <c r="T595" s="1588"/>
      <c r="U595" s="1588"/>
      <c r="V595" s="1535"/>
      <c r="W595" s="1535"/>
      <c r="X595" s="1535"/>
      <c r="Y595" s="1835"/>
      <c r="Z595" s="1535"/>
      <c r="AA595" s="1535"/>
      <c r="AZ595" s="1893"/>
      <c r="BE595" s="1588"/>
      <c r="BF595" s="21"/>
      <c r="BG595" s="21"/>
      <c r="BH595" s="1536"/>
      <c r="BI595" s="1536"/>
      <c r="BJ595" s="436"/>
    </row>
    <row r="596" spans="14:62" s="20" customFormat="1" x14ac:dyDescent="0.2">
      <c r="N596" s="1607"/>
      <c r="Q596" s="684"/>
      <c r="R596" s="1534"/>
      <c r="T596" s="1588"/>
      <c r="U596" s="1588"/>
      <c r="V596" s="1535"/>
      <c r="W596" s="1535"/>
      <c r="X596" s="1535"/>
      <c r="Y596" s="1835"/>
      <c r="Z596" s="1535"/>
      <c r="AA596" s="1535"/>
      <c r="AZ596" s="1893"/>
      <c r="BE596" s="1588"/>
      <c r="BF596" s="21"/>
      <c r="BG596" s="21"/>
      <c r="BH596" s="1536"/>
      <c r="BI596" s="1536"/>
      <c r="BJ596" s="436"/>
    </row>
    <row r="597" spans="14:62" s="20" customFormat="1" x14ac:dyDescent="0.2">
      <c r="N597" s="1607"/>
      <c r="Q597" s="684"/>
      <c r="R597" s="1534"/>
      <c r="T597" s="1588"/>
      <c r="U597" s="1588"/>
      <c r="V597" s="1535"/>
      <c r="W597" s="1535"/>
      <c r="X597" s="1535"/>
      <c r="Y597" s="1835"/>
      <c r="Z597" s="1535"/>
      <c r="AA597" s="1535"/>
      <c r="AZ597" s="1893"/>
      <c r="BE597" s="1588"/>
      <c r="BF597" s="21"/>
      <c r="BG597" s="21"/>
      <c r="BH597" s="1536"/>
      <c r="BI597" s="1536"/>
      <c r="BJ597" s="436"/>
    </row>
    <row r="598" spans="14:62" s="20" customFormat="1" x14ac:dyDescent="0.2">
      <c r="N598" s="1607"/>
      <c r="Q598" s="684"/>
      <c r="R598" s="1534"/>
      <c r="T598" s="1588"/>
      <c r="U598" s="1588"/>
      <c r="V598" s="1535"/>
      <c r="W598" s="1535"/>
      <c r="X598" s="1535"/>
      <c r="Y598" s="1835"/>
      <c r="Z598" s="1535"/>
      <c r="AA598" s="1535"/>
      <c r="AZ598" s="1893"/>
      <c r="BE598" s="1588"/>
      <c r="BF598" s="21"/>
      <c r="BG598" s="21"/>
      <c r="BH598" s="1536"/>
      <c r="BI598" s="1536"/>
      <c r="BJ598" s="436"/>
    </row>
    <row r="599" spans="14:62" s="20" customFormat="1" x14ac:dyDescent="0.2">
      <c r="N599" s="1607"/>
      <c r="Q599" s="684"/>
      <c r="R599" s="1534"/>
      <c r="T599" s="1588"/>
      <c r="U599" s="1588"/>
      <c r="V599" s="1535"/>
      <c r="W599" s="1535"/>
      <c r="X599" s="1535"/>
      <c r="Y599" s="1835"/>
      <c r="Z599" s="1535"/>
      <c r="AA599" s="1535"/>
      <c r="AZ599" s="1893"/>
      <c r="BE599" s="1588"/>
      <c r="BF599" s="21"/>
      <c r="BG599" s="21"/>
      <c r="BH599" s="1536"/>
      <c r="BI599" s="1536"/>
      <c r="BJ599" s="436"/>
    </row>
    <row r="600" spans="14:62" s="20" customFormat="1" x14ac:dyDescent="0.2">
      <c r="N600" s="1607"/>
      <c r="Q600" s="684"/>
      <c r="R600" s="1534"/>
      <c r="T600" s="1588"/>
      <c r="U600" s="1588"/>
      <c r="V600" s="1535"/>
      <c r="W600" s="1535"/>
      <c r="X600" s="1535"/>
      <c r="Y600" s="1835"/>
      <c r="Z600" s="1535"/>
      <c r="AA600" s="1535"/>
      <c r="AZ600" s="1893"/>
      <c r="BE600" s="1588"/>
      <c r="BF600" s="21"/>
      <c r="BG600" s="21"/>
      <c r="BH600" s="1536"/>
      <c r="BI600" s="1536"/>
      <c r="BJ600" s="436"/>
    </row>
    <row r="601" spans="14:62" s="20" customFormat="1" x14ac:dyDescent="0.2">
      <c r="N601" s="1607"/>
      <c r="Q601" s="684"/>
      <c r="R601" s="1534"/>
      <c r="T601" s="1588"/>
      <c r="U601" s="1588"/>
      <c r="V601" s="1535"/>
      <c r="W601" s="1535"/>
      <c r="X601" s="1535"/>
      <c r="Y601" s="1835"/>
      <c r="Z601" s="1535"/>
      <c r="AA601" s="1535"/>
      <c r="AZ601" s="1893"/>
      <c r="BE601" s="1588"/>
      <c r="BF601" s="21"/>
      <c r="BG601" s="21"/>
      <c r="BH601" s="1536"/>
      <c r="BI601" s="1536"/>
      <c r="BJ601" s="436"/>
    </row>
    <row r="602" spans="14:62" s="20" customFormat="1" x14ac:dyDescent="0.2">
      <c r="N602" s="1607"/>
      <c r="Q602" s="684"/>
      <c r="R602" s="1534"/>
      <c r="T602" s="1588"/>
      <c r="U602" s="1588"/>
      <c r="V602" s="1535"/>
      <c r="W602" s="1535"/>
      <c r="X602" s="1535"/>
      <c r="Y602" s="1835"/>
      <c r="Z602" s="1535"/>
      <c r="AA602" s="1535"/>
      <c r="AZ602" s="1893"/>
      <c r="BE602" s="1588"/>
      <c r="BF602" s="21"/>
      <c r="BG602" s="21"/>
      <c r="BH602" s="1536"/>
      <c r="BI602" s="1536"/>
      <c r="BJ602" s="436"/>
    </row>
    <row r="603" spans="14:62" s="20" customFormat="1" x14ac:dyDescent="0.2">
      <c r="N603" s="1607"/>
      <c r="Q603" s="684"/>
      <c r="R603" s="1534"/>
      <c r="T603" s="1588"/>
      <c r="U603" s="1588"/>
      <c r="V603" s="1535"/>
      <c r="W603" s="1535"/>
      <c r="X603" s="1535"/>
      <c r="Y603" s="1835"/>
      <c r="Z603" s="1535"/>
      <c r="AA603" s="1535"/>
      <c r="AZ603" s="1893"/>
      <c r="BE603" s="1588"/>
      <c r="BF603" s="21"/>
      <c r="BG603" s="21"/>
      <c r="BH603" s="1536"/>
      <c r="BI603" s="1536"/>
      <c r="BJ603" s="436"/>
    </row>
    <row r="604" spans="14:62" s="20" customFormat="1" x14ac:dyDescent="0.2">
      <c r="N604" s="1607"/>
      <c r="Q604" s="684"/>
      <c r="R604" s="1534"/>
      <c r="T604" s="1588"/>
      <c r="U604" s="1588"/>
      <c r="V604" s="1535"/>
      <c r="W604" s="1535"/>
      <c r="X604" s="1535"/>
      <c r="Y604" s="1835"/>
      <c r="Z604" s="1535"/>
      <c r="AA604" s="1535"/>
      <c r="AZ604" s="1893"/>
      <c r="BE604" s="1588"/>
      <c r="BF604" s="21"/>
      <c r="BG604" s="21"/>
      <c r="BH604" s="1536"/>
      <c r="BI604" s="1536"/>
      <c r="BJ604" s="436"/>
    </row>
    <row r="605" spans="14:62" s="20" customFormat="1" x14ac:dyDescent="0.2">
      <c r="N605" s="1607"/>
      <c r="Q605" s="684"/>
      <c r="R605" s="1534"/>
      <c r="T605" s="1588"/>
      <c r="U605" s="1588"/>
      <c r="V605" s="1535"/>
      <c r="W605" s="1535"/>
      <c r="X605" s="1535"/>
      <c r="Y605" s="1835"/>
      <c r="Z605" s="1535"/>
      <c r="AA605" s="1535"/>
      <c r="AZ605" s="1893"/>
      <c r="BE605" s="1588"/>
      <c r="BF605" s="21"/>
      <c r="BG605" s="21"/>
      <c r="BH605" s="1536"/>
      <c r="BI605" s="1536"/>
      <c r="BJ605" s="436"/>
    </row>
    <row r="606" spans="14:62" s="20" customFormat="1" x14ac:dyDescent="0.2">
      <c r="N606" s="1607"/>
      <c r="Q606" s="684"/>
      <c r="R606" s="1534"/>
      <c r="T606" s="1588"/>
      <c r="U606" s="1588"/>
      <c r="V606" s="1535"/>
      <c r="W606" s="1535"/>
      <c r="X606" s="1535"/>
      <c r="Y606" s="1835"/>
      <c r="Z606" s="1535"/>
      <c r="AA606" s="1535"/>
      <c r="AZ606" s="1893"/>
      <c r="BE606" s="1588"/>
      <c r="BF606" s="21"/>
      <c r="BG606" s="21"/>
      <c r="BH606" s="1536"/>
      <c r="BI606" s="1536"/>
      <c r="BJ606" s="436"/>
    </row>
    <row r="607" spans="14:62" s="20" customFormat="1" x14ac:dyDescent="0.2">
      <c r="N607" s="1607"/>
      <c r="Q607" s="684"/>
      <c r="R607" s="1534"/>
      <c r="T607" s="1588"/>
      <c r="U607" s="1588"/>
      <c r="V607" s="1535"/>
      <c r="W607" s="1535"/>
      <c r="X607" s="1535"/>
      <c r="Y607" s="1835"/>
      <c r="Z607" s="1535"/>
      <c r="AA607" s="1535"/>
      <c r="AZ607" s="1893"/>
      <c r="BE607" s="1588"/>
      <c r="BF607" s="21"/>
      <c r="BG607" s="21"/>
      <c r="BH607" s="1536"/>
      <c r="BI607" s="1536"/>
      <c r="BJ607" s="436"/>
    </row>
    <row r="608" spans="14:62" s="20" customFormat="1" x14ac:dyDescent="0.2">
      <c r="N608" s="1607"/>
      <c r="Q608" s="684"/>
      <c r="R608" s="1534"/>
      <c r="T608" s="1588"/>
      <c r="U608" s="1588"/>
      <c r="V608" s="1535"/>
      <c r="W608" s="1535"/>
      <c r="X608" s="1535"/>
      <c r="Y608" s="1835"/>
      <c r="Z608" s="1535"/>
      <c r="AA608" s="1535"/>
      <c r="AZ608" s="1893"/>
      <c r="BE608" s="1588"/>
      <c r="BF608" s="21"/>
      <c r="BG608" s="21"/>
      <c r="BH608" s="1536"/>
      <c r="BI608" s="1536"/>
      <c r="BJ608" s="436"/>
    </row>
    <row r="609" spans="14:62" s="20" customFormat="1" x14ac:dyDescent="0.2">
      <c r="N609" s="1607"/>
      <c r="Q609" s="684"/>
      <c r="R609" s="1534"/>
      <c r="T609" s="1588"/>
      <c r="U609" s="1588"/>
      <c r="V609" s="1535"/>
      <c r="W609" s="1535"/>
      <c r="X609" s="1535"/>
      <c r="Y609" s="1835"/>
      <c r="Z609" s="1535"/>
      <c r="AA609" s="1535"/>
      <c r="AZ609" s="1893"/>
      <c r="BE609" s="1588"/>
      <c r="BF609" s="21"/>
      <c r="BG609" s="21"/>
      <c r="BH609" s="1536"/>
      <c r="BI609" s="1536"/>
      <c r="BJ609" s="436"/>
    </row>
    <row r="610" spans="14:62" s="20" customFormat="1" x14ac:dyDescent="0.2">
      <c r="N610" s="1607"/>
      <c r="Q610" s="684"/>
      <c r="R610" s="1534"/>
      <c r="T610" s="1588"/>
      <c r="U610" s="1588"/>
      <c r="V610" s="1535"/>
      <c r="W610" s="1535"/>
      <c r="X610" s="1535"/>
      <c r="Y610" s="1835"/>
      <c r="Z610" s="1535"/>
      <c r="AA610" s="1535"/>
      <c r="AZ610" s="1893"/>
      <c r="BE610" s="1588"/>
      <c r="BF610" s="21"/>
      <c r="BG610" s="21"/>
      <c r="BH610" s="1536"/>
      <c r="BI610" s="1536"/>
      <c r="BJ610" s="436"/>
    </row>
    <row r="611" spans="14:62" s="20" customFormat="1" x14ac:dyDescent="0.2">
      <c r="N611" s="1607"/>
      <c r="Q611" s="684"/>
      <c r="R611" s="1534"/>
      <c r="T611" s="1588"/>
      <c r="U611" s="1588"/>
      <c r="V611" s="1535"/>
      <c r="W611" s="1535"/>
      <c r="X611" s="1535"/>
      <c r="Y611" s="1835"/>
      <c r="Z611" s="1535"/>
      <c r="AA611" s="1535"/>
      <c r="AZ611" s="1893"/>
      <c r="BE611" s="1588"/>
      <c r="BF611" s="21"/>
      <c r="BG611" s="21"/>
      <c r="BH611" s="1536"/>
      <c r="BI611" s="1536"/>
      <c r="BJ611" s="436"/>
    </row>
    <row r="612" spans="14:62" s="20" customFormat="1" x14ac:dyDescent="0.2">
      <c r="N612" s="1607"/>
      <c r="Q612" s="684"/>
      <c r="R612" s="1534"/>
      <c r="T612" s="1588"/>
      <c r="U612" s="1588"/>
      <c r="V612" s="1535"/>
      <c r="W612" s="1535"/>
      <c r="X612" s="1535"/>
      <c r="Y612" s="1835"/>
      <c r="Z612" s="1535"/>
      <c r="AA612" s="1535"/>
      <c r="AZ612" s="1893"/>
      <c r="BE612" s="1588"/>
      <c r="BF612" s="21"/>
      <c r="BG612" s="21"/>
      <c r="BH612" s="1536"/>
      <c r="BI612" s="1536"/>
      <c r="BJ612" s="436"/>
    </row>
    <row r="613" spans="14:62" s="20" customFormat="1" x14ac:dyDescent="0.2">
      <c r="N613" s="1607"/>
      <c r="Q613" s="684"/>
      <c r="R613" s="1534"/>
      <c r="T613" s="1588"/>
      <c r="U613" s="1588"/>
      <c r="V613" s="1535"/>
      <c r="W613" s="1535"/>
      <c r="X613" s="1535"/>
      <c r="Y613" s="1835"/>
      <c r="Z613" s="1535"/>
      <c r="AA613" s="1535"/>
      <c r="AZ613" s="1893"/>
      <c r="BE613" s="1588"/>
      <c r="BF613" s="21"/>
      <c r="BG613" s="21"/>
      <c r="BH613" s="1536"/>
      <c r="BI613" s="1536"/>
      <c r="BJ613" s="436"/>
    </row>
    <row r="614" spans="14:62" s="20" customFormat="1" x14ac:dyDescent="0.2">
      <c r="N614" s="1607"/>
      <c r="Q614" s="684"/>
      <c r="R614" s="1534"/>
      <c r="T614" s="1588"/>
      <c r="U614" s="1588"/>
      <c r="V614" s="1535"/>
      <c r="W614" s="1535"/>
      <c r="X614" s="1535"/>
      <c r="Y614" s="1835"/>
      <c r="Z614" s="1535"/>
      <c r="AA614" s="1535"/>
      <c r="AZ614" s="1893"/>
      <c r="BE614" s="1588"/>
      <c r="BF614" s="21"/>
      <c r="BG614" s="21"/>
      <c r="BH614" s="1536"/>
      <c r="BI614" s="1536"/>
      <c r="BJ614" s="436"/>
    </row>
    <row r="615" spans="14:62" s="20" customFormat="1" x14ac:dyDescent="0.2">
      <c r="N615" s="1607"/>
      <c r="Q615" s="684"/>
      <c r="R615" s="1534"/>
      <c r="T615" s="1588"/>
      <c r="U615" s="1588"/>
      <c r="V615" s="1535"/>
      <c r="W615" s="1535"/>
      <c r="X615" s="1535"/>
      <c r="Y615" s="1835"/>
      <c r="Z615" s="1535"/>
      <c r="AA615" s="1535"/>
      <c r="AZ615" s="1893"/>
      <c r="BE615" s="1588"/>
      <c r="BF615" s="21"/>
      <c r="BG615" s="21"/>
      <c r="BH615" s="1536"/>
      <c r="BI615" s="1536"/>
      <c r="BJ615" s="436"/>
    </row>
    <row r="616" spans="14:62" s="20" customFormat="1" x14ac:dyDescent="0.2">
      <c r="N616" s="1607"/>
      <c r="Q616" s="684"/>
      <c r="R616" s="1534"/>
      <c r="T616" s="1588"/>
      <c r="U616" s="1588"/>
      <c r="V616" s="1535"/>
      <c r="W616" s="1535"/>
      <c r="X616" s="1535"/>
      <c r="Y616" s="1835"/>
      <c r="Z616" s="1535"/>
      <c r="AA616" s="1535"/>
      <c r="AZ616" s="1893"/>
      <c r="BE616" s="1588"/>
      <c r="BF616" s="21"/>
      <c r="BG616" s="21"/>
      <c r="BH616" s="1536"/>
      <c r="BI616" s="1536"/>
      <c r="BJ616" s="436"/>
    </row>
    <row r="617" spans="14:62" s="20" customFormat="1" x14ac:dyDescent="0.2">
      <c r="N617" s="1607"/>
      <c r="Q617" s="684"/>
      <c r="R617" s="1534"/>
      <c r="T617" s="1588"/>
      <c r="U617" s="1588"/>
      <c r="V617" s="1535"/>
      <c r="W617" s="1535"/>
      <c r="X617" s="1535"/>
      <c r="Y617" s="1835"/>
      <c r="Z617" s="1535"/>
      <c r="AA617" s="1535"/>
      <c r="AZ617" s="1893"/>
      <c r="BE617" s="1588"/>
      <c r="BF617" s="21"/>
      <c r="BG617" s="21"/>
      <c r="BH617" s="1536"/>
      <c r="BI617" s="1536"/>
      <c r="BJ617" s="436"/>
    </row>
    <row r="618" spans="14:62" s="20" customFormat="1" x14ac:dyDescent="0.2">
      <c r="N618" s="1607"/>
      <c r="Q618" s="684"/>
      <c r="R618" s="1534"/>
      <c r="T618" s="1588"/>
      <c r="U618" s="1588"/>
      <c r="V618" s="1535"/>
      <c r="W618" s="1535"/>
      <c r="X618" s="1535"/>
      <c r="Y618" s="1835"/>
      <c r="Z618" s="1535"/>
      <c r="AA618" s="1535"/>
      <c r="AZ618" s="1893"/>
      <c r="BE618" s="1588"/>
      <c r="BF618" s="21"/>
      <c r="BG618" s="21"/>
      <c r="BH618" s="1536"/>
      <c r="BI618" s="1536"/>
      <c r="BJ618" s="436"/>
    </row>
    <row r="619" spans="14:62" s="20" customFormat="1" x14ac:dyDescent="0.2">
      <c r="N619" s="1607"/>
      <c r="Q619" s="684"/>
      <c r="R619" s="1534"/>
      <c r="T619" s="1588"/>
      <c r="U619" s="1588"/>
      <c r="V619" s="1535"/>
      <c r="W619" s="1535"/>
      <c r="X619" s="1535"/>
      <c r="Y619" s="1835"/>
      <c r="Z619" s="1535"/>
      <c r="AA619" s="1535"/>
      <c r="AZ619" s="1893"/>
      <c r="BE619" s="1588"/>
      <c r="BF619" s="21"/>
      <c r="BG619" s="21"/>
      <c r="BH619" s="1536"/>
      <c r="BI619" s="1536"/>
      <c r="BJ619" s="436"/>
    </row>
    <row r="620" spans="14:62" s="20" customFormat="1" x14ac:dyDescent="0.2">
      <c r="N620" s="1607"/>
      <c r="Q620" s="684"/>
      <c r="R620" s="1534"/>
      <c r="T620" s="1588"/>
      <c r="U620" s="1588"/>
      <c r="V620" s="1535"/>
      <c r="W620" s="1535"/>
      <c r="X620" s="1535"/>
      <c r="Y620" s="1835"/>
      <c r="Z620" s="1535"/>
      <c r="AA620" s="1535"/>
      <c r="AZ620" s="1893"/>
      <c r="BE620" s="1588"/>
      <c r="BF620" s="21"/>
      <c r="BG620" s="21"/>
      <c r="BH620" s="1536"/>
      <c r="BI620" s="1536"/>
      <c r="BJ620" s="436"/>
    </row>
    <row r="621" spans="14:62" s="20" customFormat="1" x14ac:dyDescent="0.2">
      <c r="N621" s="1607"/>
      <c r="Q621" s="684"/>
      <c r="R621" s="1534"/>
      <c r="T621" s="1588"/>
      <c r="U621" s="1588"/>
      <c r="V621" s="1535"/>
      <c r="W621" s="1535"/>
      <c r="X621" s="1535"/>
      <c r="Y621" s="1835"/>
      <c r="Z621" s="1535"/>
      <c r="AA621" s="1535"/>
      <c r="AZ621" s="1893"/>
      <c r="BE621" s="1588"/>
      <c r="BF621" s="21"/>
      <c r="BG621" s="21"/>
      <c r="BH621" s="1536"/>
      <c r="BI621" s="1536"/>
      <c r="BJ621" s="436"/>
    </row>
    <row r="622" spans="14:62" s="20" customFormat="1" x14ac:dyDescent="0.2">
      <c r="N622" s="1607"/>
      <c r="Q622" s="684"/>
      <c r="R622" s="1534"/>
      <c r="T622" s="1588"/>
      <c r="U622" s="1588"/>
      <c r="V622" s="1535"/>
      <c r="W622" s="1535"/>
      <c r="X622" s="1535"/>
      <c r="Y622" s="1835"/>
      <c r="Z622" s="1535"/>
      <c r="AA622" s="1535"/>
      <c r="AZ622" s="1893"/>
      <c r="BE622" s="1588"/>
      <c r="BF622" s="21"/>
      <c r="BG622" s="21"/>
      <c r="BH622" s="1536"/>
      <c r="BI622" s="1536"/>
      <c r="BJ622" s="436"/>
    </row>
    <row r="623" spans="14:62" s="20" customFormat="1" x14ac:dyDescent="0.2">
      <c r="N623" s="1607"/>
      <c r="Q623" s="684"/>
      <c r="R623" s="1534"/>
      <c r="T623" s="1588"/>
      <c r="U623" s="1588"/>
      <c r="V623" s="1535"/>
      <c r="W623" s="1535"/>
      <c r="X623" s="1535"/>
      <c r="Y623" s="1835"/>
      <c r="Z623" s="1535"/>
      <c r="AA623" s="1535"/>
      <c r="AZ623" s="1893"/>
      <c r="BE623" s="1588"/>
      <c r="BF623" s="21"/>
      <c r="BG623" s="21"/>
      <c r="BH623" s="1536"/>
      <c r="BI623" s="1536"/>
      <c r="BJ623" s="436"/>
    </row>
    <row r="624" spans="14:62" s="20" customFormat="1" x14ac:dyDescent="0.2">
      <c r="N624" s="1607"/>
      <c r="Q624" s="684"/>
      <c r="R624" s="1534"/>
      <c r="T624" s="1588"/>
      <c r="U624" s="1588"/>
      <c r="V624" s="1535"/>
      <c r="W624" s="1535"/>
      <c r="X624" s="1535"/>
      <c r="Y624" s="1835"/>
      <c r="Z624" s="1535"/>
      <c r="AA624" s="1535"/>
      <c r="AZ624" s="1893"/>
      <c r="BE624" s="1588"/>
      <c r="BF624" s="21"/>
      <c r="BG624" s="21"/>
      <c r="BH624" s="1536"/>
      <c r="BI624" s="1536"/>
      <c r="BJ624" s="436"/>
    </row>
    <row r="625" spans="14:62" s="20" customFormat="1" x14ac:dyDescent="0.2">
      <c r="N625" s="1607"/>
      <c r="Q625" s="684"/>
      <c r="R625" s="1534"/>
      <c r="T625" s="1588"/>
      <c r="U625" s="1588"/>
      <c r="V625" s="1535"/>
      <c r="W625" s="1535"/>
      <c r="X625" s="1535"/>
      <c r="Y625" s="1835"/>
      <c r="Z625" s="1535"/>
      <c r="AA625" s="1535"/>
      <c r="AZ625" s="1893"/>
      <c r="BE625" s="1588"/>
      <c r="BF625" s="21"/>
      <c r="BG625" s="21"/>
      <c r="BH625" s="1536"/>
      <c r="BI625" s="1536"/>
      <c r="BJ625" s="436"/>
    </row>
    <row r="626" spans="14:62" s="20" customFormat="1" x14ac:dyDescent="0.2">
      <c r="N626" s="1607"/>
      <c r="Q626" s="684"/>
      <c r="R626" s="1534"/>
      <c r="T626" s="1588"/>
      <c r="U626" s="1588"/>
      <c r="V626" s="1535"/>
      <c r="W626" s="1535"/>
      <c r="X626" s="1535"/>
      <c r="Y626" s="1835"/>
      <c r="Z626" s="1535"/>
      <c r="AA626" s="1535"/>
      <c r="AZ626" s="1893"/>
      <c r="BE626" s="1588"/>
      <c r="BF626" s="21"/>
      <c r="BG626" s="21"/>
      <c r="BH626" s="1536"/>
      <c r="BI626" s="1536"/>
      <c r="BJ626" s="436"/>
    </row>
    <row r="627" spans="14:62" s="20" customFormat="1" x14ac:dyDescent="0.2">
      <c r="N627" s="1607"/>
      <c r="Q627" s="684"/>
      <c r="R627" s="1534"/>
      <c r="T627" s="1588"/>
      <c r="U627" s="1588"/>
      <c r="V627" s="1535"/>
      <c r="W627" s="1535"/>
      <c r="X627" s="1535"/>
      <c r="Y627" s="1835"/>
      <c r="Z627" s="1535"/>
      <c r="AA627" s="1535"/>
      <c r="AZ627" s="1893"/>
      <c r="BE627" s="1588"/>
      <c r="BF627" s="21"/>
      <c r="BG627" s="21"/>
      <c r="BH627" s="1536"/>
      <c r="BI627" s="1536"/>
      <c r="BJ627" s="436"/>
    </row>
    <row r="628" spans="14:62" s="20" customFormat="1" x14ac:dyDescent="0.2">
      <c r="N628" s="1607"/>
      <c r="Q628" s="684"/>
      <c r="R628" s="1534"/>
      <c r="T628" s="1588"/>
      <c r="U628" s="1588"/>
      <c r="V628" s="1535"/>
      <c r="W628" s="1535"/>
      <c r="X628" s="1535"/>
      <c r="Y628" s="1835"/>
      <c r="Z628" s="1535"/>
      <c r="AA628" s="1535"/>
      <c r="AZ628" s="1893"/>
      <c r="BE628" s="1588"/>
      <c r="BF628" s="21"/>
      <c r="BG628" s="21"/>
      <c r="BH628" s="1536"/>
      <c r="BI628" s="1536"/>
      <c r="BJ628" s="436"/>
    </row>
    <row r="629" spans="14:62" s="20" customFormat="1" x14ac:dyDescent="0.2">
      <c r="N629" s="1607"/>
      <c r="Q629" s="684"/>
      <c r="R629" s="1534"/>
      <c r="T629" s="1588"/>
      <c r="U629" s="1588"/>
      <c r="V629" s="1535"/>
      <c r="W629" s="1535"/>
      <c r="X629" s="1535"/>
      <c r="Y629" s="1835"/>
      <c r="Z629" s="1535"/>
      <c r="AA629" s="1535"/>
      <c r="AZ629" s="1893"/>
      <c r="BE629" s="1588"/>
      <c r="BF629" s="21"/>
      <c r="BG629" s="21"/>
      <c r="BH629" s="1536"/>
      <c r="BI629" s="1536"/>
      <c r="BJ629" s="436"/>
    </row>
    <row r="630" spans="14:62" s="20" customFormat="1" x14ac:dyDescent="0.2">
      <c r="N630" s="1607"/>
      <c r="Q630" s="684"/>
      <c r="R630" s="1534"/>
      <c r="T630" s="1588"/>
      <c r="U630" s="1588"/>
      <c r="V630" s="1535"/>
      <c r="W630" s="1535"/>
      <c r="X630" s="1535"/>
      <c r="Y630" s="1835"/>
      <c r="Z630" s="1535"/>
      <c r="AA630" s="1535"/>
      <c r="AZ630" s="1893"/>
      <c r="BE630" s="1588"/>
      <c r="BF630" s="21"/>
      <c r="BG630" s="21"/>
      <c r="BH630" s="1536"/>
      <c r="BI630" s="1536"/>
      <c r="BJ630" s="436"/>
    </row>
    <row r="631" spans="14:62" s="20" customFormat="1" x14ac:dyDescent="0.2">
      <c r="N631" s="1607"/>
      <c r="Q631" s="684"/>
      <c r="R631" s="1534"/>
      <c r="T631" s="1588"/>
      <c r="U631" s="1588"/>
      <c r="V631" s="1535"/>
      <c r="W631" s="1535"/>
      <c r="X631" s="1535"/>
      <c r="Y631" s="1835"/>
      <c r="Z631" s="1535"/>
      <c r="AA631" s="1535"/>
      <c r="AZ631" s="1893"/>
      <c r="BE631" s="1588"/>
      <c r="BF631" s="21"/>
      <c r="BG631" s="21"/>
      <c r="BH631" s="1536"/>
      <c r="BI631" s="1536"/>
      <c r="BJ631" s="436"/>
    </row>
    <row r="632" spans="14:62" s="20" customFormat="1" x14ac:dyDescent="0.2">
      <c r="N632" s="1607"/>
      <c r="Q632" s="684"/>
      <c r="R632" s="1534"/>
      <c r="T632" s="1588"/>
      <c r="U632" s="1588"/>
      <c r="V632" s="1535"/>
      <c r="W632" s="1535"/>
      <c r="X632" s="1535"/>
      <c r="Y632" s="1835"/>
      <c r="Z632" s="1535"/>
      <c r="AA632" s="1535"/>
      <c r="AZ632" s="1893"/>
      <c r="BE632" s="1588"/>
      <c r="BF632" s="21"/>
      <c r="BG632" s="21"/>
      <c r="BH632" s="1536"/>
      <c r="BI632" s="1536"/>
      <c r="BJ632" s="436"/>
    </row>
    <row r="633" spans="14:62" s="20" customFormat="1" x14ac:dyDescent="0.2">
      <c r="N633" s="1607"/>
      <c r="Q633" s="684"/>
      <c r="R633" s="1534"/>
      <c r="T633" s="1588"/>
      <c r="U633" s="1588"/>
      <c r="V633" s="1535"/>
      <c r="W633" s="1535"/>
      <c r="X633" s="1535"/>
      <c r="Y633" s="1835"/>
      <c r="Z633" s="1535"/>
      <c r="AA633" s="1535"/>
      <c r="AZ633" s="1893"/>
      <c r="BE633" s="1588"/>
      <c r="BF633" s="21"/>
      <c r="BG633" s="21"/>
      <c r="BH633" s="1536"/>
      <c r="BI633" s="1536"/>
      <c r="BJ633" s="436"/>
    </row>
    <row r="634" spans="14:62" s="20" customFormat="1" x14ac:dyDescent="0.2">
      <c r="N634" s="1607"/>
      <c r="Q634" s="684"/>
      <c r="R634" s="1534"/>
      <c r="T634" s="1588"/>
      <c r="U634" s="1588"/>
      <c r="V634" s="1535"/>
      <c r="W634" s="1535"/>
      <c r="X634" s="1535"/>
      <c r="Y634" s="1835"/>
      <c r="Z634" s="1535"/>
      <c r="AA634" s="1535"/>
      <c r="AZ634" s="1893"/>
      <c r="BE634" s="1588"/>
      <c r="BF634" s="21"/>
      <c r="BG634" s="21"/>
      <c r="BH634" s="1536"/>
      <c r="BI634" s="1536"/>
      <c r="BJ634" s="436"/>
    </row>
    <row r="635" spans="14:62" s="20" customFormat="1" x14ac:dyDescent="0.2">
      <c r="N635" s="1607"/>
      <c r="Q635" s="684"/>
      <c r="R635" s="1534"/>
      <c r="T635" s="1588"/>
      <c r="U635" s="1588"/>
      <c r="V635" s="1535"/>
      <c r="W635" s="1535"/>
      <c r="X635" s="1535"/>
      <c r="Y635" s="1835"/>
      <c r="Z635" s="1535"/>
      <c r="AA635" s="1535"/>
      <c r="AZ635" s="1893"/>
      <c r="BE635" s="1588"/>
      <c r="BF635" s="21"/>
      <c r="BG635" s="21"/>
      <c r="BH635" s="1536"/>
      <c r="BI635" s="1536"/>
      <c r="BJ635" s="436"/>
    </row>
    <row r="636" spans="14:62" s="20" customFormat="1" x14ac:dyDescent="0.2">
      <c r="N636" s="1607"/>
      <c r="Q636" s="684"/>
      <c r="R636" s="1534"/>
      <c r="T636" s="1588"/>
      <c r="U636" s="1588"/>
      <c r="V636" s="1535"/>
      <c r="W636" s="1535"/>
      <c r="X636" s="1535"/>
      <c r="Y636" s="1835"/>
      <c r="Z636" s="1535"/>
      <c r="AA636" s="1535"/>
      <c r="AZ636" s="1893"/>
      <c r="BE636" s="1588"/>
      <c r="BF636" s="21"/>
      <c r="BG636" s="21"/>
      <c r="BH636" s="1536"/>
      <c r="BI636" s="1536"/>
      <c r="BJ636" s="436"/>
    </row>
    <row r="637" spans="14:62" s="20" customFormat="1" x14ac:dyDescent="0.2">
      <c r="N637" s="1607"/>
      <c r="Q637" s="684"/>
      <c r="R637" s="1534"/>
      <c r="T637" s="1588"/>
      <c r="U637" s="1588"/>
      <c r="V637" s="1535"/>
      <c r="W637" s="1535"/>
      <c r="X637" s="1535"/>
      <c r="Y637" s="1835"/>
      <c r="Z637" s="1535"/>
      <c r="AA637" s="1535"/>
      <c r="AZ637" s="1893"/>
      <c r="BE637" s="1588"/>
      <c r="BF637" s="21"/>
      <c r="BG637" s="21"/>
      <c r="BH637" s="1536"/>
      <c r="BI637" s="1536"/>
      <c r="BJ637" s="436"/>
    </row>
    <row r="638" spans="14:62" s="20" customFormat="1" x14ac:dyDescent="0.2">
      <c r="N638" s="1607"/>
      <c r="Q638" s="684"/>
      <c r="R638" s="1534"/>
      <c r="T638" s="1588"/>
      <c r="U638" s="1588"/>
      <c r="V638" s="1535"/>
      <c r="W638" s="1535"/>
      <c r="X638" s="1535"/>
      <c r="Y638" s="1835"/>
      <c r="Z638" s="1535"/>
      <c r="AA638" s="1535"/>
      <c r="AZ638" s="1893"/>
      <c r="BE638" s="1588"/>
      <c r="BF638" s="21"/>
      <c r="BG638" s="21"/>
      <c r="BH638" s="1536"/>
      <c r="BI638" s="1536"/>
      <c r="BJ638" s="436"/>
    </row>
    <row r="639" spans="14:62" s="20" customFormat="1" x14ac:dyDescent="0.2">
      <c r="N639" s="1607"/>
      <c r="Q639" s="684"/>
      <c r="R639" s="1534"/>
      <c r="T639" s="1588"/>
      <c r="U639" s="1588"/>
      <c r="V639" s="1535"/>
      <c r="W639" s="1535"/>
      <c r="X639" s="1535"/>
      <c r="Y639" s="1835"/>
      <c r="Z639" s="1535"/>
      <c r="AA639" s="1535"/>
      <c r="AZ639" s="1893"/>
      <c r="BE639" s="1588"/>
      <c r="BF639" s="21"/>
      <c r="BG639" s="21"/>
      <c r="BH639" s="1536"/>
      <c r="BI639" s="1536"/>
      <c r="BJ639" s="436"/>
    </row>
    <row r="640" spans="14:62" s="20" customFormat="1" x14ac:dyDescent="0.2">
      <c r="N640" s="1607"/>
      <c r="Q640" s="684"/>
      <c r="R640" s="1534"/>
      <c r="T640" s="1588"/>
      <c r="U640" s="1588"/>
      <c r="V640" s="1535"/>
      <c r="W640" s="1535"/>
      <c r="X640" s="1535"/>
      <c r="Y640" s="1835"/>
      <c r="Z640" s="1535"/>
      <c r="AA640" s="1535"/>
      <c r="AZ640" s="1893"/>
      <c r="BE640" s="1588"/>
      <c r="BF640" s="21"/>
      <c r="BG640" s="21"/>
      <c r="BH640" s="1536"/>
      <c r="BI640" s="1536"/>
      <c r="BJ640" s="436"/>
    </row>
    <row r="641" spans="14:62" s="20" customFormat="1" x14ac:dyDescent="0.2">
      <c r="N641" s="1607"/>
      <c r="Q641" s="684"/>
      <c r="R641" s="1534"/>
      <c r="T641" s="1588"/>
      <c r="U641" s="1588"/>
      <c r="V641" s="1535"/>
      <c r="W641" s="1535"/>
      <c r="X641" s="1535"/>
      <c r="Y641" s="1835"/>
      <c r="Z641" s="1535"/>
      <c r="AA641" s="1535"/>
      <c r="AZ641" s="1893"/>
      <c r="BE641" s="1588"/>
      <c r="BF641" s="21"/>
      <c r="BG641" s="21"/>
      <c r="BH641" s="1536"/>
      <c r="BI641" s="1536"/>
      <c r="BJ641" s="436"/>
    </row>
    <row r="642" spans="14:62" s="20" customFormat="1" x14ac:dyDescent="0.2">
      <c r="N642" s="1607"/>
      <c r="Q642" s="684"/>
      <c r="R642" s="1534"/>
      <c r="T642" s="1588"/>
      <c r="U642" s="1588"/>
      <c r="V642" s="1535"/>
      <c r="W642" s="1535"/>
      <c r="X642" s="1535"/>
      <c r="Y642" s="1835"/>
      <c r="Z642" s="1535"/>
      <c r="AA642" s="1535"/>
      <c r="AZ642" s="1893"/>
      <c r="BE642" s="1588"/>
      <c r="BF642" s="21"/>
      <c r="BG642" s="21"/>
      <c r="BH642" s="1536"/>
      <c r="BI642" s="1536"/>
      <c r="BJ642" s="436"/>
    </row>
    <row r="643" spans="14:62" s="20" customFormat="1" x14ac:dyDescent="0.2">
      <c r="N643" s="1607"/>
      <c r="Q643" s="684"/>
      <c r="R643" s="1534"/>
      <c r="T643" s="1588"/>
      <c r="U643" s="1588"/>
      <c r="V643" s="1535"/>
      <c r="W643" s="1535"/>
      <c r="X643" s="1535"/>
      <c r="Y643" s="1835"/>
      <c r="Z643" s="1535"/>
      <c r="AA643" s="1535"/>
      <c r="AZ643" s="1893"/>
      <c r="BE643" s="1588"/>
      <c r="BF643" s="21"/>
      <c r="BG643" s="21"/>
      <c r="BH643" s="1536"/>
      <c r="BI643" s="1536"/>
      <c r="BJ643" s="436"/>
    </row>
    <row r="644" spans="14:62" s="20" customFormat="1" x14ac:dyDescent="0.2">
      <c r="N644" s="1607"/>
      <c r="Q644" s="684"/>
      <c r="R644" s="1534"/>
      <c r="T644" s="1588"/>
      <c r="U644" s="1588"/>
      <c r="V644" s="1535"/>
      <c r="W644" s="1535"/>
      <c r="X644" s="1535"/>
      <c r="Y644" s="1835"/>
      <c r="Z644" s="1535"/>
      <c r="AA644" s="1535"/>
      <c r="AZ644" s="1893"/>
      <c r="BE644" s="1588"/>
      <c r="BF644" s="21"/>
      <c r="BG644" s="21"/>
      <c r="BH644" s="1536"/>
      <c r="BI644" s="1536"/>
      <c r="BJ644" s="436"/>
    </row>
    <row r="645" spans="14:62" s="20" customFormat="1" x14ac:dyDescent="0.2">
      <c r="N645" s="1607"/>
      <c r="Q645" s="684"/>
      <c r="R645" s="1534"/>
      <c r="T645" s="1588"/>
      <c r="U645" s="1588"/>
      <c r="V645" s="1535"/>
      <c r="W645" s="1535"/>
      <c r="X645" s="1535"/>
      <c r="Y645" s="1835"/>
      <c r="Z645" s="1535"/>
      <c r="AA645" s="1535"/>
      <c r="AZ645" s="1893"/>
      <c r="BE645" s="1588"/>
      <c r="BF645" s="21"/>
      <c r="BG645" s="21"/>
      <c r="BH645" s="1536"/>
      <c r="BI645" s="1536"/>
      <c r="BJ645" s="436"/>
    </row>
    <row r="646" spans="14:62" s="20" customFormat="1" x14ac:dyDescent="0.2">
      <c r="N646" s="1607"/>
      <c r="Q646" s="684"/>
      <c r="R646" s="1534"/>
      <c r="T646" s="1588"/>
      <c r="U646" s="1588"/>
      <c r="V646" s="1535"/>
      <c r="W646" s="1535"/>
      <c r="X646" s="1535"/>
      <c r="Y646" s="1835"/>
      <c r="Z646" s="1535"/>
      <c r="AA646" s="1535"/>
      <c r="AZ646" s="1893"/>
      <c r="BE646" s="1588"/>
      <c r="BF646" s="21"/>
      <c r="BG646" s="21"/>
      <c r="BH646" s="1536"/>
      <c r="BI646" s="1536"/>
      <c r="BJ646" s="436"/>
    </row>
    <row r="647" spans="14:62" s="20" customFormat="1" x14ac:dyDescent="0.2">
      <c r="N647" s="1607"/>
      <c r="Q647" s="684"/>
      <c r="R647" s="1534"/>
      <c r="T647" s="1588"/>
      <c r="U647" s="1588"/>
      <c r="V647" s="1535"/>
      <c r="W647" s="1535"/>
      <c r="X647" s="1535"/>
      <c r="Y647" s="1835"/>
      <c r="Z647" s="1535"/>
      <c r="AA647" s="1535"/>
      <c r="AZ647" s="1893"/>
      <c r="BE647" s="1588"/>
      <c r="BF647" s="21"/>
      <c r="BG647" s="21"/>
      <c r="BH647" s="1536"/>
      <c r="BI647" s="1536"/>
      <c r="BJ647" s="436"/>
    </row>
    <row r="648" spans="14:62" s="20" customFormat="1" x14ac:dyDescent="0.2">
      <c r="N648" s="1607"/>
      <c r="Q648" s="684"/>
      <c r="R648" s="1534"/>
      <c r="T648" s="1588"/>
      <c r="U648" s="1588"/>
      <c r="V648" s="1535"/>
      <c r="W648" s="1535"/>
      <c r="X648" s="1535"/>
      <c r="Y648" s="1835"/>
      <c r="Z648" s="1535"/>
      <c r="AA648" s="1535"/>
      <c r="AZ648" s="1893"/>
      <c r="BE648" s="1588"/>
      <c r="BF648" s="21"/>
      <c r="BG648" s="21"/>
      <c r="BH648" s="1536"/>
      <c r="BI648" s="1536"/>
      <c r="BJ648" s="436"/>
    </row>
    <row r="649" spans="14:62" s="20" customFormat="1" x14ac:dyDescent="0.2">
      <c r="N649" s="1607"/>
      <c r="Q649" s="684"/>
      <c r="R649" s="1534"/>
      <c r="T649" s="1588"/>
      <c r="U649" s="1588"/>
      <c r="V649" s="1535"/>
      <c r="W649" s="1535"/>
      <c r="X649" s="1535"/>
      <c r="Y649" s="1835"/>
      <c r="Z649" s="1535"/>
      <c r="AA649" s="1535"/>
      <c r="AZ649" s="1893"/>
      <c r="BE649" s="1588"/>
      <c r="BF649" s="21"/>
      <c r="BG649" s="21"/>
      <c r="BH649" s="1536"/>
      <c r="BI649" s="1536"/>
      <c r="BJ649" s="436"/>
    </row>
    <row r="650" spans="14:62" s="20" customFormat="1" x14ac:dyDescent="0.2">
      <c r="N650" s="1607"/>
      <c r="Q650" s="684"/>
      <c r="R650" s="1534"/>
      <c r="T650" s="1588"/>
      <c r="U650" s="1588"/>
      <c r="V650" s="1535"/>
      <c r="W650" s="1535"/>
      <c r="X650" s="1535"/>
      <c r="Y650" s="1835"/>
      <c r="Z650" s="1535"/>
      <c r="AA650" s="1535"/>
      <c r="AZ650" s="1893"/>
      <c r="BE650" s="1588"/>
      <c r="BF650" s="21"/>
      <c r="BG650" s="21"/>
      <c r="BH650" s="1536"/>
      <c r="BI650" s="1536"/>
      <c r="BJ650" s="436"/>
    </row>
    <row r="651" spans="14:62" s="20" customFormat="1" x14ac:dyDescent="0.2">
      <c r="N651" s="1607"/>
      <c r="Q651" s="684"/>
      <c r="R651" s="1534"/>
      <c r="T651" s="1588"/>
      <c r="U651" s="1588"/>
      <c r="V651" s="1535"/>
      <c r="W651" s="1535"/>
      <c r="X651" s="1535"/>
      <c r="Y651" s="1835"/>
      <c r="Z651" s="1535"/>
      <c r="AA651" s="1535"/>
      <c r="AZ651" s="1893"/>
      <c r="BE651" s="1588"/>
      <c r="BF651" s="21"/>
      <c r="BG651" s="21"/>
      <c r="BH651" s="1536"/>
      <c r="BI651" s="1536"/>
      <c r="BJ651" s="436"/>
    </row>
    <row r="652" spans="14:62" s="20" customFormat="1" x14ac:dyDescent="0.2">
      <c r="N652" s="1607"/>
      <c r="Q652" s="684"/>
      <c r="R652" s="1534"/>
      <c r="T652" s="1588"/>
      <c r="U652" s="1588"/>
      <c r="V652" s="1535"/>
      <c r="W652" s="1535"/>
      <c r="X652" s="1535"/>
      <c r="Y652" s="1835"/>
      <c r="Z652" s="1535"/>
      <c r="AA652" s="1535"/>
      <c r="AZ652" s="1893"/>
      <c r="BE652" s="1588"/>
      <c r="BF652" s="21"/>
      <c r="BG652" s="21"/>
      <c r="BH652" s="1536"/>
      <c r="BI652" s="1536"/>
      <c r="BJ652" s="436"/>
    </row>
    <row r="653" spans="14:62" s="20" customFormat="1" x14ac:dyDescent="0.2">
      <c r="N653" s="1607"/>
      <c r="Q653" s="684"/>
      <c r="R653" s="1534"/>
      <c r="T653" s="1588"/>
      <c r="U653" s="1588"/>
      <c r="V653" s="1535"/>
      <c r="W653" s="1535"/>
      <c r="X653" s="1535"/>
      <c r="Y653" s="1835"/>
      <c r="Z653" s="1535"/>
      <c r="AA653" s="1535"/>
      <c r="AZ653" s="1893"/>
      <c r="BE653" s="1588"/>
      <c r="BF653" s="21"/>
      <c r="BG653" s="21"/>
      <c r="BH653" s="1536"/>
      <c r="BI653" s="1536"/>
      <c r="BJ653" s="436"/>
    </row>
    <row r="654" spans="14:62" s="20" customFormat="1" x14ac:dyDescent="0.2">
      <c r="N654" s="1607"/>
      <c r="Q654" s="684"/>
      <c r="R654" s="1534"/>
      <c r="T654" s="1588"/>
      <c r="U654" s="1588"/>
      <c r="V654" s="1535"/>
      <c r="W654" s="1535"/>
      <c r="X654" s="1535"/>
      <c r="Y654" s="1835"/>
      <c r="Z654" s="1535"/>
      <c r="AA654" s="1535"/>
      <c r="AZ654" s="1893"/>
      <c r="BE654" s="1588"/>
      <c r="BF654" s="21"/>
      <c r="BG654" s="21"/>
      <c r="BH654" s="1536"/>
      <c r="BI654" s="1536"/>
      <c r="BJ654" s="436"/>
    </row>
    <row r="655" spans="14:62" s="20" customFormat="1" x14ac:dyDescent="0.2">
      <c r="N655" s="1607"/>
      <c r="Q655" s="684"/>
      <c r="R655" s="1534"/>
      <c r="T655" s="1588"/>
      <c r="U655" s="1588"/>
      <c r="V655" s="1535"/>
      <c r="W655" s="1535"/>
      <c r="X655" s="1535"/>
      <c r="Y655" s="1835"/>
      <c r="Z655" s="1535"/>
      <c r="AA655" s="1535"/>
      <c r="AZ655" s="1893"/>
      <c r="BE655" s="1588"/>
      <c r="BF655" s="21"/>
      <c r="BG655" s="21"/>
      <c r="BH655" s="1536"/>
      <c r="BI655" s="1536"/>
      <c r="BJ655" s="436"/>
    </row>
    <row r="656" spans="14:62" s="20" customFormat="1" x14ac:dyDescent="0.2">
      <c r="N656" s="1607"/>
      <c r="Q656" s="684"/>
      <c r="R656" s="1534"/>
      <c r="T656" s="1588"/>
      <c r="U656" s="1588"/>
      <c r="V656" s="1535"/>
      <c r="W656" s="1535"/>
      <c r="X656" s="1535"/>
      <c r="Y656" s="1835"/>
      <c r="Z656" s="1535"/>
      <c r="AA656" s="1535"/>
      <c r="AZ656" s="1893"/>
      <c r="BE656" s="1588"/>
      <c r="BF656" s="21"/>
      <c r="BG656" s="21"/>
      <c r="BH656" s="1536"/>
      <c r="BI656" s="1536"/>
      <c r="BJ656" s="436"/>
    </row>
    <row r="657" spans="14:62" s="20" customFormat="1" x14ac:dyDescent="0.2">
      <c r="N657" s="1607"/>
      <c r="Q657" s="684"/>
      <c r="R657" s="1534"/>
      <c r="T657" s="1588"/>
      <c r="U657" s="1588"/>
      <c r="V657" s="1535"/>
      <c r="W657" s="1535"/>
      <c r="X657" s="1535"/>
      <c r="Y657" s="1835"/>
      <c r="Z657" s="1535"/>
      <c r="AA657" s="1535"/>
      <c r="AZ657" s="1893"/>
      <c r="BE657" s="1588"/>
      <c r="BF657" s="21"/>
      <c r="BG657" s="21"/>
      <c r="BH657" s="1536"/>
      <c r="BI657" s="1536"/>
      <c r="BJ657" s="436"/>
    </row>
    <row r="658" spans="14:62" s="20" customFormat="1" x14ac:dyDescent="0.2">
      <c r="N658" s="1607"/>
      <c r="Q658" s="684"/>
      <c r="R658" s="1534"/>
      <c r="T658" s="1588"/>
      <c r="U658" s="1588"/>
      <c r="V658" s="1535"/>
      <c r="W658" s="1535"/>
      <c r="X658" s="1535"/>
      <c r="Y658" s="1835"/>
      <c r="Z658" s="1535"/>
      <c r="AA658" s="1535"/>
      <c r="AZ658" s="1893"/>
      <c r="BE658" s="1588"/>
      <c r="BF658" s="21"/>
      <c r="BG658" s="21"/>
      <c r="BH658" s="1536"/>
      <c r="BI658" s="1536"/>
      <c r="BJ658" s="436"/>
    </row>
    <row r="659" spans="14:62" s="20" customFormat="1" x14ac:dyDescent="0.2">
      <c r="N659" s="1607"/>
      <c r="Q659" s="684"/>
      <c r="R659" s="1534"/>
      <c r="T659" s="1588"/>
      <c r="U659" s="1588"/>
      <c r="V659" s="1535"/>
      <c r="W659" s="1535"/>
      <c r="X659" s="1535"/>
      <c r="Y659" s="1835"/>
      <c r="Z659" s="1535"/>
      <c r="AA659" s="1535"/>
      <c r="AZ659" s="1893"/>
      <c r="BE659" s="1588"/>
      <c r="BF659" s="21"/>
      <c r="BG659" s="21"/>
      <c r="BH659" s="1536"/>
      <c r="BI659" s="1536"/>
      <c r="BJ659" s="436"/>
    </row>
    <row r="660" spans="14:62" s="20" customFormat="1" x14ac:dyDescent="0.2">
      <c r="N660" s="1607"/>
      <c r="Q660" s="684"/>
      <c r="R660" s="1534"/>
      <c r="T660" s="1588"/>
      <c r="U660" s="1588"/>
      <c r="V660" s="1535"/>
      <c r="W660" s="1535"/>
      <c r="X660" s="1535"/>
      <c r="Y660" s="1835"/>
      <c r="Z660" s="1535"/>
      <c r="AA660" s="1535"/>
      <c r="AZ660" s="1893"/>
      <c r="BE660" s="1588"/>
      <c r="BF660" s="21"/>
      <c r="BG660" s="21"/>
      <c r="BH660" s="1536"/>
      <c r="BI660" s="1536"/>
      <c r="BJ660" s="436"/>
    </row>
    <row r="661" spans="14:62" s="20" customFormat="1" x14ac:dyDescent="0.2">
      <c r="N661" s="1607"/>
      <c r="Q661" s="684"/>
      <c r="R661" s="1534"/>
      <c r="T661" s="1588"/>
      <c r="U661" s="1588"/>
      <c r="V661" s="1535"/>
      <c r="W661" s="1535"/>
      <c r="X661" s="1535"/>
      <c r="Y661" s="1835"/>
      <c r="Z661" s="1535"/>
      <c r="AA661" s="1535"/>
      <c r="AZ661" s="1893"/>
      <c r="BE661" s="1588"/>
      <c r="BF661" s="21"/>
      <c r="BG661" s="21"/>
      <c r="BH661" s="1536"/>
      <c r="BI661" s="1536"/>
      <c r="BJ661" s="436"/>
    </row>
    <row r="662" spans="14:62" s="20" customFormat="1" x14ac:dyDescent="0.2">
      <c r="N662" s="1607"/>
      <c r="Q662" s="684"/>
      <c r="R662" s="1534"/>
      <c r="T662" s="1588"/>
      <c r="U662" s="1588"/>
      <c r="V662" s="1535"/>
      <c r="W662" s="1535"/>
      <c r="X662" s="1535"/>
      <c r="Y662" s="1835"/>
      <c r="Z662" s="1535"/>
      <c r="AA662" s="1535"/>
      <c r="AZ662" s="1893"/>
      <c r="BE662" s="1588"/>
      <c r="BF662" s="21"/>
      <c r="BG662" s="21"/>
      <c r="BH662" s="1536"/>
      <c r="BI662" s="1536"/>
      <c r="BJ662" s="436"/>
    </row>
    <row r="663" spans="14:62" s="20" customFormat="1" x14ac:dyDescent="0.2">
      <c r="N663" s="1607"/>
      <c r="Q663" s="684"/>
      <c r="R663" s="1534"/>
      <c r="T663" s="1588"/>
      <c r="U663" s="1588"/>
      <c r="V663" s="1535"/>
      <c r="W663" s="1535"/>
      <c r="X663" s="1535"/>
      <c r="Y663" s="1835"/>
      <c r="Z663" s="1535"/>
      <c r="AA663" s="1535"/>
      <c r="AZ663" s="1893"/>
      <c r="BE663" s="1588"/>
      <c r="BF663" s="21"/>
      <c r="BG663" s="21"/>
      <c r="BH663" s="1536"/>
      <c r="BI663" s="1536"/>
      <c r="BJ663" s="436"/>
    </row>
    <row r="664" spans="14:62" s="20" customFormat="1" x14ac:dyDescent="0.2">
      <c r="N664" s="1607"/>
      <c r="Q664" s="684"/>
      <c r="R664" s="1534"/>
      <c r="T664" s="1588"/>
      <c r="U664" s="1588"/>
      <c r="V664" s="1535"/>
      <c r="W664" s="1535"/>
      <c r="X664" s="1535"/>
      <c r="Y664" s="1835"/>
      <c r="Z664" s="1535"/>
      <c r="AA664" s="1535"/>
      <c r="AZ664" s="1893"/>
      <c r="BE664" s="1588"/>
      <c r="BF664" s="21"/>
      <c r="BG664" s="21"/>
      <c r="BH664" s="1536"/>
      <c r="BI664" s="1536"/>
      <c r="BJ664" s="436"/>
    </row>
    <row r="665" spans="14:62" s="20" customFormat="1" x14ac:dyDescent="0.2">
      <c r="N665" s="1607"/>
      <c r="Q665" s="684"/>
      <c r="R665" s="1534"/>
      <c r="T665" s="1588"/>
      <c r="U665" s="1588"/>
      <c r="V665" s="1535"/>
      <c r="W665" s="1535"/>
      <c r="X665" s="1535"/>
      <c r="Y665" s="1835"/>
      <c r="Z665" s="1535"/>
      <c r="AA665" s="1535"/>
      <c r="AZ665" s="1893"/>
      <c r="BE665" s="1588"/>
      <c r="BF665" s="21"/>
      <c r="BG665" s="21"/>
      <c r="BH665" s="1536"/>
      <c r="BI665" s="1536"/>
      <c r="BJ665" s="436"/>
    </row>
    <row r="666" spans="14:62" s="20" customFormat="1" x14ac:dyDescent="0.2">
      <c r="N666" s="1607"/>
      <c r="Q666" s="684"/>
      <c r="R666" s="1534"/>
      <c r="T666" s="1588"/>
      <c r="U666" s="1588"/>
      <c r="V666" s="1535"/>
      <c r="W666" s="1535"/>
      <c r="X666" s="1535"/>
      <c r="Y666" s="1835"/>
      <c r="Z666" s="1535"/>
      <c r="AA666" s="1535"/>
      <c r="AZ666" s="1893"/>
      <c r="BE666" s="1588"/>
      <c r="BF666" s="21"/>
      <c r="BG666" s="21"/>
      <c r="BH666" s="1536"/>
      <c r="BI666" s="1536"/>
      <c r="BJ666" s="436"/>
    </row>
    <row r="667" spans="14:62" s="20" customFormat="1" x14ac:dyDescent="0.2">
      <c r="N667" s="1607"/>
      <c r="Q667" s="684"/>
      <c r="R667" s="1534"/>
      <c r="T667" s="1588"/>
      <c r="U667" s="1588"/>
      <c r="V667" s="1535"/>
      <c r="W667" s="1535"/>
      <c r="X667" s="1535"/>
      <c r="Y667" s="1835"/>
      <c r="Z667" s="1535"/>
      <c r="AA667" s="1535"/>
      <c r="AZ667" s="1893"/>
      <c r="BE667" s="1588"/>
      <c r="BF667" s="21"/>
      <c r="BG667" s="21"/>
      <c r="BH667" s="1536"/>
      <c r="BI667" s="1536"/>
      <c r="BJ667" s="436"/>
    </row>
    <row r="668" spans="14:62" s="20" customFormat="1" x14ac:dyDescent="0.2">
      <c r="N668" s="1607"/>
      <c r="Q668" s="684"/>
      <c r="R668" s="1534"/>
      <c r="T668" s="1588"/>
      <c r="U668" s="1588"/>
      <c r="V668" s="1535"/>
      <c r="W668" s="1535"/>
      <c r="X668" s="1535"/>
      <c r="Y668" s="1835"/>
      <c r="Z668" s="1535"/>
      <c r="AA668" s="1535"/>
      <c r="AZ668" s="1893"/>
      <c r="BE668" s="1588"/>
      <c r="BF668" s="21"/>
      <c r="BG668" s="21"/>
      <c r="BH668" s="1536"/>
      <c r="BI668" s="1536"/>
      <c r="BJ668" s="436"/>
    </row>
    <row r="669" spans="14:62" s="20" customFormat="1" x14ac:dyDescent="0.2">
      <c r="N669" s="1607"/>
      <c r="Q669" s="684"/>
      <c r="R669" s="1534"/>
      <c r="T669" s="1588"/>
      <c r="U669" s="1588"/>
      <c r="V669" s="1535"/>
      <c r="W669" s="1535"/>
      <c r="X669" s="1535"/>
      <c r="Y669" s="1835"/>
      <c r="Z669" s="1535"/>
      <c r="AA669" s="1535"/>
      <c r="AZ669" s="1893"/>
      <c r="BE669" s="1588"/>
      <c r="BF669" s="21"/>
      <c r="BG669" s="21"/>
      <c r="BH669" s="1536"/>
      <c r="BI669" s="1536"/>
      <c r="BJ669" s="436"/>
    </row>
    <row r="670" spans="14:62" s="20" customFormat="1" x14ac:dyDescent="0.2">
      <c r="N670" s="1607"/>
      <c r="Q670" s="684"/>
      <c r="R670" s="1534"/>
      <c r="T670" s="1588"/>
      <c r="U670" s="1588"/>
      <c r="V670" s="1535"/>
      <c r="W670" s="1535"/>
      <c r="X670" s="1535"/>
      <c r="Y670" s="1835"/>
      <c r="Z670" s="1535"/>
      <c r="AA670" s="1535"/>
      <c r="AZ670" s="1893"/>
      <c r="BE670" s="1588"/>
      <c r="BF670" s="21"/>
      <c r="BG670" s="21"/>
      <c r="BH670" s="1536"/>
      <c r="BI670" s="1536"/>
      <c r="BJ670" s="436"/>
    </row>
    <row r="671" spans="14:62" s="20" customFormat="1" x14ac:dyDescent="0.2">
      <c r="N671" s="1607"/>
      <c r="Q671" s="684"/>
      <c r="R671" s="1534"/>
      <c r="T671" s="1588"/>
      <c r="U671" s="1588"/>
      <c r="V671" s="1535"/>
      <c r="W671" s="1535"/>
      <c r="X671" s="1535"/>
      <c r="Y671" s="1835"/>
      <c r="Z671" s="1535"/>
      <c r="AA671" s="1535"/>
      <c r="AZ671" s="1893"/>
      <c r="BE671" s="1588"/>
      <c r="BF671" s="21"/>
      <c r="BG671" s="21"/>
      <c r="BH671" s="1536"/>
      <c r="BI671" s="1536"/>
      <c r="BJ671" s="436"/>
    </row>
    <row r="672" spans="14:62" s="20" customFormat="1" x14ac:dyDescent="0.2">
      <c r="N672" s="1607"/>
      <c r="Q672" s="684"/>
      <c r="R672" s="1534"/>
      <c r="T672" s="1588"/>
      <c r="U672" s="1588"/>
      <c r="V672" s="1535"/>
      <c r="W672" s="1535"/>
      <c r="X672" s="1535"/>
      <c r="Y672" s="1835"/>
      <c r="Z672" s="1535"/>
      <c r="AA672" s="1535"/>
      <c r="AZ672" s="1893"/>
      <c r="BE672" s="1588"/>
      <c r="BF672" s="21"/>
      <c r="BG672" s="21"/>
      <c r="BH672" s="1536"/>
      <c r="BI672" s="1536"/>
      <c r="BJ672" s="436"/>
    </row>
  </sheetData>
  <mergeCells count="156">
    <mergeCell ref="AQ19:AQ20"/>
    <mergeCell ref="AP19:AP20"/>
    <mergeCell ref="N19:N20"/>
    <mergeCell ref="M19:M20"/>
    <mergeCell ref="L19:L20"/>
    <mergeCell ref="K19:K20"/>
    <mergeCell ref="J19:J20"/>
    <mergeCell ref="J17:J18"/>
    <mergeCell ref="K17:K18"/>
    <mergeCell ref="L17:L18"/>
    <mergeCell ref="M17:M18"/>
    <mergeCell ref="N17:N18"/>
    <mergeCell ref="S13:S21"/>
    <mergeCell ref="V17:V18"/>
    <mergeCell ref="V19:V20"/>
    <mergeCell ref="AZ19:AZ20"/>
    <mergeCell ref="AY19:AY20"/>
    <mergeCell ref="AX19:AX20"/>
    <mergeCell ref="AW19:AW20"/>
    <mergeCell ref="AV19:AV20"/>
    <mergeCell ref="AU19:AU20"/>
    <mergeCell ref="AT19:AT20"/>
    <mergeCell ref="AS19:AS20"/>
    <mergeCell ref="AR19:AR20"/>
    <mergeCell ref="BI19:BI20"/>
    <mergeCell ref="BH19:BH20"/>
    <mergeCell ref="BG19:BG20"/>
    <mergeCell ref="BF19:BF20"/>
    <mergeCell ref="BE19:BE20"/>
    <mergeCell ref="BD19:BD20"/>
    <mergeCell ref="BC19:BC20"/>
    <mergeCell ref="BB19:BB20"/>
    <mergeCell ref="BA19:BA20"/>
    <mergeCell ref="BB15:BB16"/>
    <mergeCell ref="BG17:BG18"/>
    <mergeCell ref="BH17:BH18"/>
    <mergeCell ref="BI17:BI18"/>
    <mergeCell ref="AZ17:AZ18"/>
    <mergeCell ref="BA17:BA18"/>
    <mergeCell ref="BB17:BB18"/>
    <mergeCell ref="BC17:BC18"/>
    <mergeCell ref="BD17:BD18"/>
    <mergeCell ref="BE17:BE18"/>
    <mergeCell ref="BF17:BF18"/>
    <mergeCell ref="BH15:BH16"/>
    <mergeCell ref="A23:R23"/>
    <mergeCell ref="BJ13:BJ21"/>
    <mergeCell ref="AB15:AB21"/>
    <mergeCell ref="AC15:AC21"/>
    <mergeCell ref="AD15:AD21"/>
    <mergeCell ref="AE15:AE21"/>
    <mergeCell ref="AF15:AF21"/>
    <mergeCell ref="AG15:AG21"/>
    <mergeCell ref="AH15:AH21"/>
    <mergeCell ref="R17:R18"/>
    <mergeCell ref="R19:R20"/>
    <mergeCell ref="AI15:AI21"/>
    <mergeCell ref="AJ15:AJ21"/>
    <mergeCell ref="AK15:AK21"/>
    <mergeCell ref="AL15:AL21"/>
    <mergeCell ref="AM15:AM21"/>
    <mergeCell ref="AN15:AN16"/>
    <mergeCell ref="AN17:AN18"/>
    <mergeCell ref="AN19:AN20"/>
    <mergeCell ref="AO15:AO16"/>
    <mergeCell ref="AO17:AO18"/>
    <mergeCell ref="AO19:AO20"/>
    <mergeCell ref="BA15:BA16"/>
    <mergeCell ref="E14:F14"/>
    <mergeCell ref="P12:AA12"/>
    <mergeCell ref="H12:L12"/>
    <mergeCell ref="H14:N14"/>
    <mergeCell ref="M12:O12"/>
    <mergeCell ref="J15:J16"/>
    <mergeCell ref="K15:K16"/>
    <mergeCell ref="L15:L16"/>
    <mergeCell ref="M15:M16"/>
    <mergeCell ref="N15:N16"/>
    <mergeCell ref="U15:U16"/>
    <mergeCell ref="V15:V16"/>
    <mergeCell ref="P15:P21"/>
    <mergeCell ref="Q15:Q21"/>
    <mergeCell ref="R15:R16"/>
    <mergeCell ref="T15:T21"/>
    <mergeCell ref="U17:U21"/>
    <mergeCell ref="Z7:Z9"/>
    <mergeCell ref="AA7:AA9"/>
    <mergeCell ref="AB7:AM7"/>
    <mergeCell ref="AN7:AY7"/>
    <mergeCell ref="AZ7:BE7"/>
    <mergeCell ref="AR8:AS8"/>
    <mergeCell ref="AT8:AU8"/>
    <mergeCell ref="AV8:AW8"/>
    <mergeCell ref="AX8:AY8"/>
    <mergeCell ref="AZ8:AZ9"/>
    <mergeCell ref="BA8:BA9"/>
    <mergeCell ref="BB8:BB9"/>
    <mergeCell ref="BC8:BC9"/>
    <mergeCell ref="BD8:BD9"/>
    <mergeCell ref="BE8:BE9"/>
    <mergeCell ref="AB8:AC8"/>
    <mergeCell ref="AD8:AE8"/>
    <mergeCell ref="AF8:AG8"/>
    <mergeCell ref="AH8:AI8"/>
    <mergeCell ref="AJ8:AK8"/>
    <mergeCell ref="AL8:AM8"/>
    <mergeCell ref="AN8:AO8"/>
    <mergeCell ref="AP8:AQ8"/>
    <mergeCell ref="A7:A9"/>
    <mergeCell ref="B7:C9"/>
    <mergeCell ref="D7:D9"/>
    <mergeCell ref="E7:F9"/>
    <mergeCell ref="G7:G9"/>
    <mergeCell ref="H7:I9"/>
    <mergeCell ref="A1:BF4"/>
    <mergeCell ref="A5:M6"/>
    <mergeCell ref="Q5:BJ5"/>
    <mergeCell ref="Q6:AA6"/>
    <mergeCell ref="BF6:BJ6"/>
    <mergeCell ref="Q7:Q9"/>
    <mergeCell ref="R7:R9"/>
    <mergeCell ref="S7:S9"/>
    <mergeCell ref="T7:T9"/>
    <mergeCell ref="U7:U9"/>
    <mergeCell ref="V7:V9"/>
    <mergeCell ref="J7:J9"/>
    <mergeCell ref="K7:K9"/>
    <mergeCell ref="L7:L9"/>
    <mergeCell ref="M7:N8"/>
    <mergeCell ref="O7:O9"/>
    <mergeCell ref="P7:P9"/>
    <mergeCell ref="W7:Y8"/>
    <mergeCell ref="AB6:AY6"/>
    <mergeCell ref="BI15:BI16"/>
    <mergeCell ref="AY15:AY16"/>
    <mergeCell ref="AZ15:AZ16"/>
    <mergeCell ref="BC15:BC16"/>
    <mergeCell ref="BD15:BD16"/>
    <mergeCell ref="BE15:BE16"/>
    <mergeCell ref="BF15:BF16"/>
    <mergeCell ref="BG15:BG16"/>
    <mergeCell ref="AP15:AP16"/>
    <mergeCell ref="AQ15:AQ16"/>
    <mergeCell ref="AR15:AR16"/>
    <mergeCell ref="AS15:AS16"/>
    <mergeCell ref="AT15:AT16"/>
    <mergeCell ref="AU15:AU16"/>
    <mergeCell ref="AV15:AV16"/>
    <mergeCell ref="AW15:AW16"/>
    <mergeCell ref="AX15:AX16"/>
    <mergeCell ref="BF7:BG8"/>
    <mergeCell ref="BH7:BI8"/>
    <mergeCell ref="B10:BJ10"/>
    <mergeCell ref="B11:C11"/>
    <mergeCell ref="E11:BJ11"/>
    <mergeCell ref="B14:C14"/>
  </mergeCells>
  <pageMargins left="0.7" right="0.7" top="0.75" bottom="0.75" header="0.3" footer="0.3"/>
  <pageSetup orientation="portrait" horizontalDpi="4294967292"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J24"/>
  <sheetViews>
    <sheetView tabSelected="1" zoomScale="60" zoomScaleNormal="60" workbookViewId="0">
      <selection activeCell="P26" sqref="P26"/>
    </sheetView>
  </sheetViews>
  <sheetFormatPr baseColWidth="10" defaultColWidth="11.42578125" defaultRowHeight="14.25" x14ac:dyDescent="0.2"/>
  <cols>
    <col min="1" max="1" width="12.5703125" style="3" customWidth="1"/>
    <col min="2" max="2" width="4" style="3" customWidth="1"/>
    <col min="3" max="3" width="14.7109375" style="3" customWidth="1"/>
    <col min="4" max="4" width="12" style="3" customWidth="1"/>
    <col min="5" max="5" width="7.42578125" style="3" customWidth="1"/>
    <col min="6" max="6" width="10.140625" style="3" customWidth="1"/>
    <col min="7" max="7" width="12.140625" style="3" customWidth="1"/>
    <col min="8" max="8" width="8.5703125" style="3" customWidth="1"/>
    <col min="9" max="9" width="14.7109375" style="3" customWidth="1"/>
    <col min="10" max="10" width="13.140625" style="1522" customWidth="1"/>
    <col min="11" max="11" width="22.7109375" style="3" customWidth="1"/>
    <col min="12" max="12" width="18.140625" style="3" customWidth="1"/>
    <col min="13" max="14" width="21" style="3" customWidth="1"/>
    <col min="15" max="15" width="24.28515625" style="3" customWidth="1"/>
    <col min="16" max="16" width="11.7109375" style="3" customWidth="1"/>
    <col min="17" max="17" width="23.7109375" style="6" customWidth="1"/>
    <col min="18" max="18" width="14.85546875" style="414" customWidth="1"/>
    <col min="19" max="19" width="20.5703125" style="8" bestFit="1" customWidth="1"/>
    <col min="20" max="20" width="27.28515625" style="1587" customWidth="1"/>
    <col min="21" max="21" width="23.42578125" style="1587" customWidth="1"/>
    <col min="22" max="22" width="21.42578125" style="7" customWidth="1"/>
    <col min="23" max="23" width="21.85546875" style="714" customWidth="1"/>
    <col min="24" max="25" width="21.85546875" style="721" customWidth="1"/>
    <col min="26" max="26" width="21.85546875" style="714" customWidth="1"/>
    <col min="27" max="27" width="17.85546875" style="7" customWidth="1"/>
    <col min="28" max="39" width="9.85546875" style="3" customWidth="1"/>
    <col min="40" max="41" width="13.42578125" style="3" customWidth="1"/>
    <col min="42" max="43" width="10.140625" style="3" customWidth="1"/>
    <col min="44" max="51" width="7.28515625" style="3" customWidth="1"/>
    <col min="52" max="57" width="24.85546875" style="3" customWidth="1"/>
    <col min="58" max="58" width="22.7109375" style="1524" customWidth="1"/>
    <col min="59" max="59" width="22.7109375" style="1525" customWidth="1"/>
    <col min="60" max="60" width="22.7109375" style="1453" customWidth="1"/>
    <col min="61" max="61" width="22.7109375" style="1454" customWidth="1"/>
    <col min="62" max="62" width="28.7109375" style="437" customWidth="1"/>
    <col min="63" max="16384" width="11.42578125" style="685"/>
  </cols>
  <sheetData>
    <row r="1" spans="1:62" s="2" customFormat="1" ht="18" x14ac:dyDescent="0.25">
      <c r="A1" s="4841" t="s">
        <v>2133</v>
      </c>
      <c r="B1" s="4841"/>
      <c r="C1" s="4841"/>
      <c r="D1" s="4841"/>
      <c r="E1" s="4841"/>
      <c r="F1" s="4841"/>
      <c r="G1" s="4841"/>
      <c r="H1" s="4841"/>
      <c r="I1" s="4841"/>
      <c r="J1" s="4841"/>
      <c r="K1" s="4841"/>
      <c r="L1" s="4841"/>
      <c r="M1" s="4841"/>
      <c r="N1" s="4841"/>
      <c r="O1" s="4841"/>
      <c r="P1" s="4841"/>
      <c r="Q1" s="4841"/>
      <c r="R1" s="4841"/>
      <c r="S1" s="4841"/>
      <c r="T1" s="4841"/>
      <c r="U1" s="4841"/>
      <c r="V1" s="4841"/>
      <c r="W1" s="4841"/>
      <c r="X1" s="4841"/>
      <c r="Y1" s="4841"/>
      <c r="Z1" s="4841"/>
      <c r="AA1" s="4841"/>
      <c r="AB1" s="4841"/>
      <c r="AC1" s="4841"/>
      <c r="AD1" s="4841"/>
      <c r="AE1" s="4841"/>
      <c r="AF1" s="4841"/>
      <c r="AG1" s="4841"/>
      <c r="AH1" s="4841"/>
      <c r="AI1" s="4841"/>
      <c r="AJ1" s="4841"/>
      <c r="AK1" s="4841"/>
      <c r="AL1" s="4841"/>
      <c r="AM1" s="4841"/>
      <c r="AN1" s="4841"/>
      <c r="AO1" s="4841"/>
      <c r="AP1" s="4841"/>
      <c r="AQ1" s="4841"/>
      <c r="AR1" s="4841"/>
      <c r="AS1" s="4841"/>
      <c r="AT1" s="4841"/>
      <c r="AU1" s="4841"/>
      <c r="AV1" s="4841"/>
      <c r="AW1" s="4841"/>
      <c r="AX1" s="4841"/>
      <c r="AY1" s="4841"/>
      <c r="AZ1" s="4841"/>
      <c r="BA1" s="4841"/>
      <c r="BB1" s="4841"/>
      <c r="BC1" s="4841"/>
      <c r="BD1" s="4841"/>
      <c r="BE1" s="4841"/>
      <c r="BF1" s="4841"/>
      <c r="BG1" s="717"/>
      <c r="BH1" s="4"/>
      <c r="BI1" s="1895" t="s">
        <v>1</v>
      </c>
      <c r="BJ1" s="1895" t="s">
        <v>2</v>
      </c>
    </row>
    <row r="2" spans="1:62" s="2" customFormat="1" ht="18" x14ac:dyDescent="0.25">
      <c r="A2" s="4841"/>
      <c r="B2" s="4841"/>
      <c r="C2" s="4841"/>
      <c r="D2" s="4841"/>
      <c r="E2" s="4841"/>
      <c r="F2" s="4841"/>
      <c r="G2" s="4841"/>
      <c r="H2" s="4841"/>
      <c r="I2" s="4841"/>
      <c r="J2" s="4841"/>
      <c r="K2" s="4841"/>
      <c r="L2" s="4841"/>
      <c r="M2" s="4841"/>
      <c r="N2" s="4841"/>
      <c r="O2" s="4841"/>
      <c r="P2" s="4841"/>
      <c r="Q2" s="4841"/>
      <c r="R2" s="4841"/>
      <c r="S2" s="4841"/>
      <c r="T2" s="4841"/>
      <c r="U2" s="4841"/>
      <c r="V2" s="4841"/>
      <c r="W2" s="4841"/>
      <c r="X2" s="4841"/>
      <c r="Y2" s="4841"/>
      <c r="Z2" s="4841"/>
      <c r="AA2" s="4841"/>
      <c r="AB2" s="4841"/>
      <c r="AC2" s="4841"/>
      <c r="AD2" s="4841"/>
      <c r="AE2" s="4841"/>
      <c r="AF2" s="4841"/>
      <c r="AG2" s="4841"/>
      <c r="AH2" s="4841"/>
      <c r="AI2" s="4841"/>
      <c r="AJ2" s="4841"/>
      <c r="AK2" s="4841"/>
      <c r="AL2" s="4841"/>
      <c r="AM2" s="4841"/>
      <c r="AN2" s="4841"/>
      <c r="AO2" s="4841"/>
      <c r="AP2" s="4841"/>
      <c r="AQ2" s="4841"/>
      <c r="AR2" s="4841"/>
      <c r="AS2" s="4841"/>
      <c r="AT2" s="4841"/>
      <c r="AU2" s="4841"/>
      <c r="AV2" s="4841"/>
      <c r="AW2" s="4841"/>
      <c r="AX2" s="4841"/>
      <c r="AY2" s="4841"/>
      <c r="AZ2" s="4841"/>
      <c r="BA2" s="4841"/>
      <c r="BB2" s="4841"/>
      <c r="BC2" s="4841"/>
      <c r="BD2" s="4841"/>
      <c r="BE2" s="4841"/>
      <c r="BF2" s="4841"/>
      <c r="BG2" s="717"/>
      <c r="BH2" s="4"/>
      <c r="BI2" s="1896" t="s">
        <v>3</v>
      </c>
      <c r="BJ2" s="1897">
        <v>5</v>
      </c>
    </row>
    <row r="3" spans="1:62" s="2" customFormat="1" ht="18" x14ac:dyDescent="0.25">
      <c r="A3" s="4841"/>
      <c r="B3" s="4841"/>
      <c r="C3" s="4841"/>
      <c r="D3" s="4841"/>
      <c r="E3" s="4841"/>
      <c r="F3" s="4841"/>
      <c r="G3" s="4841"/>
      <c r="H3" s="4841"/>
      <c r="I3" s="4841"/>
      <c r="J3" s="4841"/>
      <c r="K3" s="4841"/>
      <c r="L3" s="4841"/>
      <c r="M3" s="4841"/>
      <c r="N3" s="4841"/>
      <c r="O3" s="4841"/>
      <c r="P3" s="4841"/>
      <c r="Q3" s="4841"/>
      <c r="R3" s="4841"/>
      <c r="S3" s="4841"/>
      <c r="T3" s="4841"/>
      <c r="U3" s="4841"/>
      <c r="V3" s="4841"/>
      <c r="W3" s="4841"/>
      <c r="X3" s="4841"/>
      <c r="Y3" s="4841"/>
      <c r="Z3" s="4841"/>
      <c r="AA3" s="4841"/>
      <c r="AB3" s="4841"/>
      <c r="AC3" s="4841"/>
      <c r="AD3" s="4841"/>
      <c r="AE3" s="4841"/>
      <c r="AF3" s="4841"/>
      <c r="AG3" s="4841"/>
      <c r="AH3" s="4841"/>
      <c r="AI3" s="4841"/>
      <c r="AJ3" s="4841"/>
      <c r="AK3" s="4841"/>
      <c r="AL3" s="4841"/>
      <c r="AM3" s="4841"/>
      <c r="AN3" s="4841"/>
      <c r="AO3" s="4841"/>
      <c r="AP3" s="4841"/>
      <c r="AQ3" s="4841"/>
      <c r="AR3" s="4841"/>
      <c r="AS3" s="4841"/>
      <c r="AT3" s="4841"/>
      <c r="AU3" s="4841"/>
      <c r="AV3" s="4841"/>
      <c r="AW3" s="4841"/>
      <c r="AX3" s="4841"/>
      <c r="AY3" s="4841"/>
      <c r="AZ3" s="4841"/>
      <c r="BA3" s="4841"/>
      <c r="BB3" s="4841"/>
      <c r="BC3" s="4841"/>
      <c r="BD3" s="4841"/>
      <c r="BE3" s="4841"/>
      <c r="BF3" s="4841"/>
      <c r="BG3" s="717"/>
      <c r="BH3" s="4"/>
      <c r="BI3" s="1895" t="s">
        <v>4</v>
      </c>
      <c r="BJ3" s="1898" t="s">
        <v>335</v>
      </c>
    </row>
    <row r="4" spans="1:62" s="2" customFormat="1" ht="18" x14ac:dyDescent="0.2">
      <c r="A4" s="4842"/>
      <c r="B4" s="4842"/>
      <c r="C4" s="4842"/>
      <c r="D4" s="4842"/>
      <c r="E4" s="4842"/>
      <c r="F4" s="4842"/>
      <c r="G4" s="4842"/>
      <c r="H4" s="4842"/>
      <c r="I4" s="4842"/>
      <c r="J4" s="4842"/>
      <c r="K4" s="4842"/>
      <c r="L4" s="4842"/>
      <c r="M4" s="4842"/>
      <c r="N4" s="4842"/>
      <c r="O4" s="4842"/>
      <c r="P4" s="4842"/>
      <c r="Q4" s="4842"/>
      <c r="R4" s="4842"/>
      <c r="S4" s="4842"/>
      <c r="T4" s="4842"/>
      <c r="U4" s="4842"/>
      <c r="V4" s="4842"/>
      <c r="W4" s="4842"/>
      <c r="X4" s="4842"/>
      <c r="Y4" s="4842"/>
      <c r="Z4" s="4842"/>
      <c r="AA4" s="4842"/>
      <c r="AB4" s="4842"/>
      <c r="AC4" s="4842"/>
      <c r="AD4" s="4842"/>
      <c r="AE4" s="4842"/>
      <c r="AF4" s="4842"/>
      <c r="AG4" s="4842"/>
      <c r="AH4" s="4842"/>
      <c r="AI4" s="4842"/>
      <c r="AJ4" s="4842"/>
      <c r="AK4" s="4842"/>
      <c r="AL4" s="4842"/>
      <c r="AM4" s="4842"/>
      <c r="AN4" s="4842"/>
      <c r="AO4" s="4842"/>
      <c r="AP4" s="4842"/>
      <c r="AQ4" s="4842"/>
      <c r="AR4" s="4842"/>
      <c r="AS4" s="4842"/>
      <c r="AT4" s="4842"/>
      <c r="AU4" s="4842"/>
      <c r="AV4" s="4842"/>
      <c r="AW4" s="4842"/>
      <c r="AX4" s="4842"/>
      <c r="AY4" s="4842"/>
      <c r="AZ4" s="4842"/>
      <c r="BA4" s="4842"/>
      <c r="BB4" s="4842"/>
      <c r="BC4" s="4842"/>
      <c r="BD4" s="4842"/>
      <c r="BE4" s="4842"/>
      <c r="BF4" s="4842"/>
      <c r="BG4" s="718"/>
      <c r="BH4" s="4"/>
      <c r="BI4" s="679" t="s">
        <v>6</v>
      </c>
      <c r="BJ4" s="1899" t="s">
        <v>7</v>
      </c>
    </row>
    <row r="5" spans="1:62" s="2" customFormat="1" ht="15" x14ac:dyDescent="0.2">
      <c r="A5" s="3014" t="s">
        <v>8</v>
      </c>
      <c r="B5" s="3014"/>
      <c r="C5" s="3014"/>
      <c r="D5" s="3014"/>
      <c r="E5" s="3014"/>
      <c r="F5" s="3014"/>
      <c r="G5" s="3014"/>
      <c r="H5" s="3014"/>
      <c r="I5" s="3014"/>
      <c r="J5" s="3014"/>
      <c r="K5" s="3014"/>
      <c r="L5" s="3014"/>
      <c r="M5" s="3014"/>
      <c r="N5" s="2225"/>
      <c r="O5" s="2225"/>
      <c r="P5" s="222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2" s="2" customFormat="1" ht="15.75" thickBot="1" x14ac:dyDescent="0.25">
      <c r="A6" s="3469"/>
      <c r="B6" s="3469"/>
      <c r="C6" s="3469"/>
      <c r="D6" s="3469"/>
      <c r="E6" s="3469"/>
      <c r="F6" s="3469"/>
      <c r="G6" s="3469"/>
      <c r="H6" s="3469"/>
      <c r="I6" s="3469"/>
      <c r="J6" s="3469"/>
      <c r="K6" s="3469"/>
      <c r="L6" s="3469"/>
      <c r="M6" s="3469"/>
      <c r="N6" s="2187"/>
      <c r="O6" s="2187"/>
      <c r="P6" s="2187"/>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2" s="2" customFormat="1" ht="30" x14ac:dyDescent="0.2">
      <c r="A7" s="2731" t="s">
        <v>11</v>
      </c>
      <c r="B7" s="2729" t="s">
        <v>12</v>
      </c>
      <c r="C7" s="2731"/>
      <c r="D7" s="2735" t="s">
        <v>11</v>
      </c>
      <c r="E7" s="2729" t="s">
        <v>13</v>
      </c>
      <c r="F7" s="2731"/>
      <c r="G7" s="2735" t="s">
        <v>11</v>
      </c>
      <c r="H7" s="2729" t="s">
        <v>14</v>
      </c>
      <c r="I7" s="2731"/>
      <c r="J7" s="4843" t="s">
        <v>11</v>
      </c>
      <c r="K7" s="2735" t="s">
        <v>15</v>
      </c>
      <c r="L7" s="2735" t="s">
        <v>16</v>
      </c>
      <c r="M7" s="2729" t="s">
        <v>17</v>
      </c>
      <c r="N7" s="2731"/>
      <c r="O7" s="2735" t="s">
        <v>18</v>
      </c>
      <c r="P7" s="2735" t="s">
        <v>19</v>
      </c>
      <c r="Q7" s="2735" t="s">
        <v>9</v>
      </c>
      <c r="R7" s="2735" t="s">
        <v>20</v>
      </c>
      <c r="S7" s="702" t="s">
        <v>21</v>
      </c>
      <c r="T7" s="1584" t="s">
        <v>22</v>
      </c>
      <c r="U7" s="1584" t="s">
        <v>23</v>
      </c>
      <c r="V7" s="703" t="s">
        <v>24</v>
      </c>
      <c r="W7" s="3022" t="s">
        <v>21</v>
      </c>
      <c r="X7" s="3070"/>
      <c r="Y7" s="3023"/>
      <c r="Z7" s="702" t="s">
        <v>11</v>
      </c>
      <c r="AA7" s="703" t="s">
        <v>25</v>
      </c>
      <c r="AB7" s="2752" t="s">
        <v>26</v>
      </c>
      <c r="AC7" s="2753"/>
      <c r="AD7" s="2753"/>
      <c r="AE7" s="2753"/>
      <c r="AF7" s="2753"/>
      <c r="AG7" s="2753"/>
      <c r="AH7" s="2753"/>
      <c r="AI7" s="2753"/>
      <c r="AJ7" s="2753"/>
      <c r="AK7" s="2753"/>
      <c r="AL7" s="2753"/>
      <c r="AM7" s="2754"/>
      <c r="AN7" s="4064" t="s">
        <v>27</v>
      </c>
      <c r="AO7" s="4065"/>
      <c r="AP7" s="4065"/>
      <c r="AQ7" s="4065"/>
      <c r="AR7" s="4065"/>
      <c r="AS7" s="4065"/>
      <c r="AT7" s="4065"/>
      <c r="AU7" s="4065"/>
      <c r="AV7" s="4065"/>
      <c r="AW7" s="4065"/>
      <c r="AX7" s="4065"/>
      <c r="AY7" s="4066"/>
      <c r="AZ7" s="3009" t="s">
        <v>28</v>
      </c>
      <c r="BA7" s="3010"/>
      <c r="BB7" s="3010"/>
      <c r="BC7" s="3010"/>
      <c r="BD7" s="3010"/>
      <c r="BE7" s="3011"/>
      <c r="BF7" s="3012" t="s">
        <v>29</v>
      </c>
      <c r="BG7" s="3012"/>
      <c r="BH7" s="3012" t="s">
        <v>30</v>
      </c>
      <c r="BI7" s="3012"/>
      <c r="BJ7" s="3004" t="s">
        <v>31</v>
      </c>
    </row>
    <row r="8" spans="1:62" s="2" customFormat="1" ht="15" x14ac:dyDescent="0.2">
      <c r="A8" s="2734"/>
      <c r="B8" s="2732"/>
      <c r="C8" s="2734"/>
      <c r="D8" s="2736"/>
      <c r="E8" s="2732"/>
      <c r="F8" s="2734"/>
      <c r="G8" s="2736"/>
      <c r="H8" s="2732"/>
      <c r="I8" s="2734"/>
      <c r="J8" s="4844"/>
      <c r="K8" s="2736"/>
      <c r="L8" s="2736"/>
      <c r="M8" s="2732"/>
      <c r="N8" s="2734"/>
      <c r="O8" s="2736"/>
      <c r="P8" s="2736"/>
      <c r="Q8" s="2736"/>
      <c r="R8" s="2736"/>
      <c r="S8" s="704"/>
      <c r="T8" s="1583"/>
      <c r="U8" s="1583"/>
      <c r="V8" s="705"/>
      <c r="W8" s="3026"/>
      <c r="X8" s="3071"/>
      <c r="Y8" s="3027"/>
      <c r="Z8" s="704"/>
      <c r="AA8" s="705"/>
      <c r="AB8" s="2748" t="s">
        <v>32</v>
      </c>
      <c r="AC8" s="2748"/>
      <c r="AD8" s="4062" t="s">
        <v>33</v>
      </c>
      <c r="AE8" s="4063"/>
      <c r="AF8" s="2729" t="s">
        <v>34</v>
      </c>
      <c r="AG8" s="2731"/>
      <c r="AH8" s="2729" t="s">
        <v>35</v>
      </c>
      <c r="AI8" s="2731"/>
      <c r="AJ8" s="2729" t="s">
        <v>36</v>
      </c>
      <c r="AK8" s="2731"/>
      <c r="AL8" s="2729" t="s">
        <v>37</v>
      </c>
      <c r="AM8" s="2731"/>
      <c r="AN8" s="2729" t="s">
        <v>38</v>
      </c>
      <c r="AO8" s="2731"/>
      <c r="AP8" s="2729" t="s">
        <v>39</v>
      </c>
      <c r="AQ8" s="2731"/>
      <c r="AR8" s="2729" t="s">
        <v>40</v>
      </c>
      <c r="AS8" s="2731"/>
      <c r="AT8" s="2729" t="s">
        <v>41</v>
      </c>
      <c r="AU8" s="2731"/>
      <c r="AV8" s="2729" t="s">
        <v>42</v>
      </c>
      <c r="AW8" s="2731"/>
      <c r="AX8" s="2732" t="s">
        <v>43</v>
      </c>
      <c r="AY8" s="2734"/>
      <c r="AZ8" s="2974" t="s">
        <v>44</v>
      </c>
      <c r="BA8" s="4745" t="s">
        <v>45</v>
      </c>
      <c r="BB8" s="2974" t="s">
        <v>46</v>
      </c>
      <c r="BC8" s="2994" t="s">
        <v>47</v>
      </c>
      <c r="BD8" s="2974" t="s">
        <v>48</v>
      </c>
      <c r="BE8" s="2974" t="s">
        <v>49</v>
      </c>
      <c r="BF8" s="3012"/>
      <c r="BG8" s="3012"/>
      <c r="BH8" s="3012"/>
      <c r="BI8" s="3012"/>
      <c r="BJ8" s="3005"/>
    </row>
    <row r="9" spans="1:62" s="2" customFormat="1" ht="15" x14ac:dyDescent="0.2">
      <c r="A9" s="2734"/>
      <c r="B9" s="2732"/>
      <c r="C9" s="2734"/>
      <c r="D9" s="2736"/>
      <c r="E9" s="2732"/>
      <c r="F9" s="2734"/>
      <c r="G9" s="2736"/>
      <c r="H9" s="2732"/>
      <c r="I9" s="2734"/>
      <c r="J9" s="4844"/>
      <c r="K9" s="2736"/>
      <c r="L9" s="2736"/>
      <c r="M9" s="705"/>
      <c r="N9" s="2091"/>
      <c r="O9" s="2736"/>
      <c r="P9" s="2736"/>
      <c r="Q9" s="2736"/>
      <c r="R9" s="2736"/>
      <c r="S9" s="704"/>
      <c r="T9" s="1583"/>
      <c r="U9" s="1583"/>
      <c r="V9" s="705"/>
      <c r="W9" s="2735" t="s">
        <v>52</v>
      </c>
      <c r="X9" s="4067" t="s">
        <v>53</v>
      </c>
      <c r="Y9" s="4067" t="s">
        <v>54</v>
      </c>
      <c r="Z9" s="704"/>
      <c r="AA9" s="705"/>
      <c r="AB9" s="2081"/>
      <c r="AC9" s="2081"/>
      <c r="AD9" s="706"/>
      <c r="AE9" s="706"/>
      <c r="AF9" s="2108"/>
      <c r="AG9" s="2108"/>
      <c r="AH9" s="2108"/>
      <c r="AI9" s="2108"/>
      <c r="AJ9" s="2108"/>
      <c r="AK9" s="2108"/>
      <c r="AL9" s="2108"/>
      <c r="AM9" s="2108"/>
      <c r="AN9" s="2108"/>
      <c r="AO9" s="2108"/>
      <c r="AP9" s="2108"/>
      <c r="AQ9" s="2108"/>
      <c r="AR9" s="2108"/>
      <c r="AS9" s="2108"/>
      <c r="AT9" s="2108"/>
      <c r="AU9" s="2108"/>
      <c r="AV9" s="2108"/>
      <c r="AW9" s="2108"/>
      <c r="AX9" s="2108"/>
      <c r="AY9" s="2108"/>
      <c r="AZ9" s="4838"/>
      <c r="BA9" s="4839"/>
      <c r="BB9" s="4838"/>
      <c r="BC9" s="4840"/>
      <c r="BD9" s="4838"/>
      <c r="BE9" s="4838"/>
      <c r="BF9" s="92"/>
      <c r="BG9" s="116"/>
      <c r="BH9" s="92"/>
      <c r="BI9" s="116"/>
      <c r="BJ9" s="3005"/>
    </row>
    <row r="10" spans="1:62" s="2" customFormat="1" ht="15" x14ac:dyDescent="0.2">
      <c r="A10" s="2750"/>
      <c r="B10" s="2749"/>
      <c r="C10" s="2750"/>
      <c r="D10" s="2737"/>
      <c r="E10" s="2749"/>
      <c r="F10" s="2750"/>
      <c r="G10" s="2737"/>
      <c r="H10" s="2749"/>
      <c r="I10" s="2750"/>
      <c r="J10" s="4845"/>
      <c r="K10" s="2737"/>
      <c r="L10" s="2737"/>
      <c r="M10" s="2081" t="s">
        <v>50</v>
      </c>
      <c r="N10" s="91" t="s">
        <v>51</v>
      </c>
      <c r="O10" s="2737"/>
      <c r="P10" s="2737"/>
      <c r="Q10" s="2737"/>
      <c r="R10" s="2737"/>
      <c r="S10" s="704"/>
      <c r="T10" s="1583"/>
      <c r="U10" s="1583"/>
      <c r="V10" s="705"/>
      <c r="W10" s="2737"/>
      <c r="X10" s="4068"/>
      <c r="Y10" s="4068"/>
      <c r="Z10" s="704"/>
      <c r="AA10" s="705"/>
      <c r="AB10" s="2081" t="s">
        <v>121</v>
      </c>
      <c r="AC10" s="91" t="s">
        <v>51</v>
      </c>
      <c r="AD10" s="2081" t="s">
        <v>121</v>
      </c>
      <c r="AE10" s="91" t="s">
        <v>51</v>
      </c>
      <c r="AF10" s="2081" t="s">
        <v>121</v>
      </c>
      <c r="AG10" s="91" t="s">
        <v>51</v>
      </c>
      <c r="AH10" s="2081" t="s">
        <v>121</v>
      </c>
      <c r="AI10" s="91" t="s">
        <v>51</v>
      </c>
      <c r="AJ10" s="2081" t="s">
        <v>121</v>
      </c>
      <c r="AK10" s="91" t="s">
        <v>51</v>
      </c>
      <c r="AL10" s="2081" t="s">
        <v>121</v>
      </c>
      <c r="AM10" s="91" t="s">
        <v>51</v>
      </c>
      <c r="AN10" s="2081" t="s">
        <v>121</v>
      </c>
      <c r="AO10" s="91" t="s">
        <v>51</v>
      </c>
      <c r="AP10" s="2081" t="s">
        <v>121</v>
      </c>
      <c r="AQ10" s="91" t="s">
        <v>51</v>
      </c>
      <c r="AR10" s="2081" t="s">
        <v>121</v>
      </c>
      <c r="AS10" s="91" t="s">
        <v>51</v>
      </c>
      <c r="AT10" s="2081" t="s">
        <v>121</v>
      </c>
      <c r="AU10" s="91" t="s">
        <v>51</v>
      </c>
      <c r="AV10" s="2081" t="s">
        <v>121</v>
      </c>
      <c r="AW10" s="91" t="s">
        <v>51</v>
      </c>
      <c r="AX10" s="2081" t="s">
        <v>121</v>
      </c>
      <c r="AY10" s="91" t="s">
        <v>51</v>
      </c>
      <c r="AZ10" s="2975"/>
      <c r="BA10" s="4746"/>
      <c r="BB10" s="2975"/>
      <c r="BC10" s="4735"/>
      <c r="BD10" s="2975"/>
      <c r="BE10" s="2975"/>
      <c r="BF10" s="2188" t="s">
        <v>50</v>
      </c>
      <c r="BG10" s="116" t="s">
        <v>51</v>
      </c>
      <c r="BH10" s="2188" t="s">
        <v>50</v>
      </c>
      <c r="BI10" s="116" t="s">
        <v>51</v>
      </c>
      <c r="BJ10" s="3006"/>
    </row>
    <row r="11" spans="1:62" s="2" customFormat="1" ht="15" x14ac:dyDescent="0.2">
      <c r="A11" s="40">
        <v>4</v>
      </c>
      <c r="B11" s="4818" t="s">
        <v>449</v>
      </c>
      <c r="C11" s="4819"/>
      <c r="D11" s="4819"/>
      <c r="E11" s="4819"/>
      <c r="F11" s="4819"/>
      <c r="G11" s="4819"/>
      <c r="H11" s="4819"/>
      <c r="I11" s="4819"/>
      <c r="J11" s="4819"/>
      <c r="K11" s="4819"/>
      <c r="L11" s="4819"/>
      <c r="M11" s="4819"/>
      <c r="N11" s="4819"/>
      <c r="O11" s="4819"/>
      <c r="P11" s="4819"/>
      <c r="Q11" s="4819"/>
      <c r="R11" s="4819"/>
      <c r="S11" s="4819"/>
      <c r="T11" s="4819"/>
      <c r="U11" s="4819"/>
      <c r="V11" s="4819"/>
      <c r="W11" s="4819"/>
      <c r="X11" s="4819"/>
      <c r="Y11" s="4819"/>
      <c r="Z11" s="4819"/>
      <c r="AA11" s="4819"/>
      <c r="AB11" s="4819"/>
      <c r="AC11" s="4819"/>
      <c r="AD11" s="4819"/>
      <c r="AE11" s="4819"/>
      <c r="AF11" s="4819"/>
      <c r="AG11" s="4819"/>
      <c r="AH11" s="4819"/>
      <c r="AI11" s="4819"/>
      <c r="AJ11" s="4819"/>
      <c r="AK11" s="4819"/>
      <c r="AL11" s="4819"/>
      <c r="AM11" s="4819"/>
      <c r="AN11" s="4819"/>
      <c r="AO11" s="4819"/>
      <c r="AP11" s="4819"/>
      <c r="AQ11" s="4819"/>
      <c r="AR11" s="4819"/>
      <c r="AS11" s="4819"/>
      <c r="AT11" s="4819"/>
      <c r="AU11" s="4819"/>
      <c r="AV11" s="4819"/>
      <c r="AW11" s="4819"/>
      <c r="AX11" s="4819"/>
      <c r="AY11" s="4819"/>
      <c r="AZ11" s="4819"/>
      <c r="BA11" s="4819"/>
      <c r="BB11" s="4819"/>
      <c r="BC11" s="4819"/>
      <c r="BD11" s="4819"/>
      <c r="BE11" s="4819"/>
      <c r="BF11" s="4819"/>
      <c r="BG11" s="4819"/>
      <c r="BH11" s="4819"/>
      <c r="BI11" s="4819"/>
      <c r="BJ11" s="4820"/>
    </row>
    <row r="12" spans="1:62" s="2" customFormat="1" ht="15" x14ac:dyDescent="0.2">
      <c r="A12" s="4821"/>
      <c r="B12" s="3422"/>
      <c r="C12" s="2982"/>
      <c r="D12" s="707">
        <v>23</v>
      </c>
      <c r="E12" s="4825" t="s">
        <v>2134</v>
      </c>
      <c r="F12" s="4826"/>
      <c r="G12" s="4826"/>
      <c r="H12" s="4826"/>
      <c r="I12" s="4826"/>
      <c r="J12" s="4826"/>
      <c r="K12" s="4826"/>
      <c r="L12" s="4826"/>
      <c r="M12" s="4826"/>
      <c r="N12" s="4826"/>
      <c r="O12" s="4826"/>
      <c r="P12" s="4826"/>
      <c r="Q12" s="4826"/>
      <c r="R12" s="4826"/>
      <c r="S12" s="4826"/>
      <c r="T12" s="4826"/>
      <c r="U12" s="4826"/>
      <c r="V12" s="4826"/>
      <c r="W12" s="4826"/>
      <c r="X12" s="4826"/>
      <c r="Y12" s="4826"/>
      <c r="Z12" s="4826"/>
      <c r="AA12" s="4826"/>
      <c r="AB12" s="4826"/>
      <c r="AC12" s="4826"/>
      <c r="AD12" s="4826"/>
      <c r="AE12" s="4826"/>
      <c r="AF12" s="4826"/>
      <c r="AG12" s="4826"/>
      <c r="AH12" s="4826"/>
      <c r="AI12" s="4826"/>
      <c r="AJ12" s="4826"/>
      <c r="AK12" s="4826"/>
      <c r="AL12" s="4826"/>
      <c r="AM12" s="4826"/>
      <c r="AN12" s="4826"/>
      <c r="AO12" s="4826"/>
      <c r="AP12" s="4826"/>
      <c r="AQ12" s="4826"/>
      <c r="AR12" s="4826"/>
      <c r="AS12" s="4826"/>
      <c r="AT12" s="4826"/>
      <c r="AU12" s="4826"/>
      <c r="AV12" s="4826"/>
      <c r="AW12" s="4826"/>
      <c r="AX12" s="4826"/>
      <c r="AY12" s="4826"/>
      <c r="AZ12" s="4826"/>
      <c r="BA12" s="4826"/>
      <c r="BB12" s="4826"/>
      <c r="BC12" s="4826"/>
      <c r="BD12" s="4826"/>
      <c r="BE12" s="4826"/>
      <c r="BF12" s="4826"/>
      <c r="BG12" s="4826"/>
      <c r="BH12" s="4826"/>
      <c r="BI12" s="4826"/>
      <c r="BJ12" s="4827"/>
    </row>
    <row r="13" spans="1:62" s="2" customFormat="1" ht="15" x14ac:dyDescent="0.2">
      <c r="A13" s="4822"/>
      <c r="B13" s="3423"/>
      <c r="C13" s="2983"/>
      <c r="D13" s="4766"/>
      <c r="E13" s="4828"/>
      <c r="F13" s="4767"/>
      <c r="G13" s="708">
        <v>77</v>
      </c>
      <c r="H13" s="4833" t="s">
        <v>2135</v>
      </c>
      <c r="I13" s="4834"/>
      <c r="J13" s="4834"/>
      <c r="K13" s="4834"/>
      <c r="L13" s="4834"/>
      <c r="M13" s="4834"/>
      <c r="N13" s="4834"/>
      <c r="O13" s="4834"/>
      <c r="P13" s="4834"/>
      <c r="Q13" s="4834"/>
      <c r="R13" s="4834"/>
      <c r="S13" s="4834"/>
      <c r="T13" s="4834"/>
      <c r="U13" s="4834"/>
      <c r="V13" s="4834"/>
      <c r="W13" s="4834"/>
      <c r="X13" s="4834"/>
      <c r="Y13" s="4834"/>
      <c r="Z13" s="4834"/>
      <c r="AA13" s="4834"/>
      <c r="AB13" s="4834"/>
      <c r="AC13" s="4834"/>
      <c r="AD13" s="4834"/>
      <c r="AE13" s="4834"/>
      <c r="AF13" s="4834"/>
      <c r="AG13" s="4834"/>
      <c r="AH13" s="4834"/>
      <c r="AI13" s="4834"/>
      <c r="AJ13" s="4834"/>
      <c r="AK13" s="4834"/>
      <c r="AL13" s="4834"/>
      <c r="AM13" s="4834"/>
      <c r="AN13" s="4834"/>
      <c r="AO13" s="4834"/>
      <c r="AP13" s="4834"/>
      <c r="AQ13" s="4834"/>
      <c r="AR13" s="4834"/>
      <c r="AS13" s="4834"/>
      <c r="AT13" s="4834"/>
      <c r="AU13" s="4834"/>
      <c r="AV13" s="4834"/>
      <c r="AW13" s="4834"/>
      <c r="AX13" s="4834"/>
      <c r="AY13" s="4834"/>
      <c r="AZ13" s="4834"/>
      <c r="BA13" s="4834"/>
      <c r="BB13" s="4834"/>
      <c r="BC13" s="4834"/>
      <c r="BD13" s="4834"/>
      <c r="BE13" s="4834"/>
      <c r="BF13" s="4834"/>
      <c r="BG13" s="4834"/>
      <c r="BH13" s="4834"/>
      <c r="BI13" s="4834"/>
      <c r="BJ13" s="4835"/>
    </row>
    <row r="14" spans="1:62" ht="71.25" x14ac:dyDescent="0.2">
      <c r="A14" s="4822"/>
      <c r="B14" s="3423"/>
      <c r="C14" s="2983"/>
      <c r="D14" s="4236"/>
      <c r="E14" s="4829"/>
      <c r="F14" s="4237"/>
      <c r="G14" s="3042"/>
      <c r="H14" s="4836"/>
      <c r="I14" s="3043"/>
      <c r="J14" s="4807">
        <v>223</v>
      </c>
      <c r="K14" s="2605" t="s">
        <v>2136</v>
      </c>
      <c r="L14" s="2707" t="s">
        <v>19</v>
      </c>
      <c r="M14" s="2707">
        <v>1</v>
      </c>
      <c r="N14" s="2672">
        <v>1</v>
      </c>
      <c r="O14" s="2707">
        <v>2301010335</v>
      </c>
      <c r="P14" s="2707">
        <v>172</v>
      </c>
      <c r="Q14" s="2605" t="s">
        <v>2137</v>
      </c>
      <c r="R14" s="3098">
        <f>+(S15+S14)/S19</f>
        <v>0.76818428846153841</v>
      </c>
      <c r="S14" s="3104">
        <v>39945583</v>
      </c>
      <c r="T14" s="3054" t="s">
        <v>2138</v>
      </c>
      <c r="U14" s="3054" t="s">
        <v>2139</v>
      </c>
      <c r="V14" s="2562" t="s">
        <v>2140</v>
      </c>
      <c r="W14" s="715">
        <v>20000000</v>
      </c>
      <c r="X14" s="2434">
        <v>20000000</v>
      </c>
      <c r="Y14" s="2434">
        <v>20000000</v>
      </c>
      <c r="Z14" s="4290">
        <v>2301010335</v>
      </c>
      <c r="AA14" s="2707" t="s">
        <v>2141</v>
      </c>
      <c r="AB14" s="4810" t="s">
        <v>2142</v>
      </c>
      <c r="AC14" s="4810" t="s">
        <v>2142</v>
      </c>
      <c r="AD14" s="4810" t="s">
        <v>2143</v>
      </c>
      <c r="AE14" s="4810" t="s">
        <v>2143</v>
      </c>
      <c r="AF14" s="4810" t="s">
        <v>2144</v>
      </c>
      <c r="AG14" s="4810" t="s">
        <v>2144</v>
      </c>
      <c r="AH14" s="4810" t="s">
        <v>2145</v>
      </c>
      <c r="AI14" s="4810" t="s">
        <v>2145</v>
      </c>
      <c r="AJ14" s="4810" t="s">
        <v>2146</v>
      </c>
      <c r="AK14" s="4810" t="s">
        <v>2146</v>
      </c>
      <c r="AL14" s="4810" t="s">
        <v>2147</v>
      </c>
      <c r="AM14" s="4810" t="s">
        <v>2147</v>
      </c>
      <c r="AN14" s="3999"/>
      <c r="AO14" s="3999"/>
      <c r="AP14" s="3999"/>
      <c r="AQ14" s="3999"/>
      <c r="AR14" s="3999"/>
      <c r="AS14" s="3999"/>
      <c r="AT14" s="3999"/>
      <c r="AU14" s="3999"/>
      <c r="AV14" s="3999"/>
      <c r="AW14" s="3999"/>
      <c r="AX14" s="3999"/>
      <c r="AY14" s="3999"/>
      <c r="AZ14" s="2499">
        <v>2</v>
      </c>
      <c r="BA14" s="2499">
        <v>20000000</v>
      </c>
      <c r="BB14" s="2499">
        <v>20000000</v>
      </c>
      <c r="BC14" s="2276">
        <v>1</v>
      </c>
      <c r="BD14" s="2499" t="s">
        <v>230</v>
      </c>
      <c r="BE14" s="2499" t="s">
        <v>2148</v>
      </c>
      <c r="BF14" s="725">
        <v>42597</v>
      </c>
      <c r="BG14" s="2512">
        <v>42492</v>
      </c>
      <c r="BH14" s="725">
        <v>42735</v>
      </c>
      <c r="BI14" s="2511">
        <v>42733</v>
      </c>
      <c r="BJ14" s="3104" t="s">
        <v>2149</v>
      </c>
    </row>
    <row r="15" spans="1:62" ht="71.25" x14ac:dyDescent="0.2">
      <c r="A15" s="4822"/>
      <c r="B15" s="3423"/>
      <c r="C15" s="2983"/>
      <c r="D15" s="4236"/>
      <c r="E15" s="4829"/>
      <c r="F15" s="4237"/>
      <c r="G15" s="3044"/>
      <c r="H15" s="3088"/>
      <c r="I15" s="3045"/>
      <c r="J15" s="4808"/>
      <c r="K15" s="2988"/>
      <c r="L15" s="2709"/>
      <c r="M15" s="2709"/>
      <c r="N15" s="2674"/>
      <c r="O15" s="2708"/>
      <c r="P15" s="2708"/>
      <c r="Q15" s="2987"/>
      <c r="R15" s="3099"/>
      <c r="S15" s="3105"/>
      <c r="T15" s="3055"/>
      <c r="U15" s="3055"/>
      <c r="V15" s="2562" t="s">
        <v>2150</v>
      </c>
      <c r="W15" s="715">
        <v>19945583</v>
      </c>
      <c r="X15" s="2434">
        <v>19902249</v>
      </c>
      <c r="Y15" s="2434">
        <v>19902249</v>
      </c>
      <c r="Z15" s="4369"/>
      <c r="AA15" s="2708"/>
      <c r="AB15" s="4811"/>
      <c r="AC15" s="4811"/>
      <c r="AD15" s="4811"/>
      <c r="AE15" s="4811"/>
      <c r="AF15" s="4811"/>
      <c r="AG15" s="4811"/>
      <c r="AH15" s="4811"/>
      <c r="AI15" s="4811"/>
      <c r="AJ15" s="4811"/>
      <c r="AK15" s="4811"/>
      <c r="AL15" s="4811"/>
      <c r="AM15" s="4811"/>
      <c r="AN15" s="4000"/>
      <c r="AO15" s="4000"/>
      <c r="AP15" s="4000"/>
      <c r="AQ15" s="4000"/>
      <c r="AR15" s="4000"/>
      <c r="AS15" s="4000"/>
      <c r="AT15" s="4000"/>
      <c r="AU15" s="4000"/>
      <c r="AV15" s="4000"/>
      <c r="AW15" s="4000"/>
      <c r="AX15" s="4000"/>
      <c r="AY15" s="4000"/>
      <c r="AZ15" s="2499">
        <v>3</v>
      </c>
      <c r="BA15" s="2499">
        <v>19902249</v>
      </c>
      <c r="BB15" s="2499">
        <v>19902249</v>
      </c>
      <c r="BC15" s="2276">
        <v>1</v>
      </c>
      <c r="BD15" s="2499" t="s">
        <v>230</v>
      </c>
      <c r="BE15" s="2499" t="s">
        <v>2148</v>
      </c>
      <c r="BF15" s="462">
        <v>42597</v>
      </c>
      <c r="BG15" s="2507">
        <v>42735</v>
      </c>
      <c r="BH15" s="462">
        <v>42735</v>
      </c>
      <c r="BI15" s="2511">
        <v>42735</v>
      </c>
      <c r="BJ15" s="3988"/>
    </row>
    <row r="16" spans="1:62" ht="28.5" customHeight="1" x14ac:dyDescent="0.2">
      <c r="A16" s="4822"/>
      <c r="B16" s="3423"/>
      <c r="C16" s="2983"/>
      <c r="D16" s="4236"/>
      <c r="E16" s="4829"/>
      <c r="F16" s="4237"/>
      <c r="G16" s="3044"/>
      <c r="H16" s="3088"/>
      <c r="I16" s="3045"/>
      <c r="J16" s="4807">
        <v>224</v>
      </c>
      <c r="K16" s="2605" t="s">
        <v>2151</v>
      </c>
      <c r="L16" s="2707" t="s">
        <v>1199</v>
      </c>
      <c r="M16" s="2707">
        <v>1</v>
      </c>
      <c r="N16" s="2672">
        <v>0</v>
      </c>
      <c r="O16" s="2708"/>
      <c r="P16" s="2708"/>
      <c r="Q16" s="2987"/>
      <c r="R16" s="3098">
        <f>+(S16+S17)/S19</f>
        <v>0.19335417307692307</v>
      </c>
      <c r="S16" s="3104">
        <v>10054417</v>
      </c>
      <c r="T16" s="3055"/>
      <c r="U16" s="3055"/>
      <c r="V16" s="4816" t="s">
        <v>2152</v>
      </c>
      <c r="W16" s="3104">
        <v>10054417</v>
      </c>
      <c r="X16" s="4160">
        <v>0</v>
      </c>
      <c r="Y16" s="4160">
        <v>0</v>
      </c>
      <c r="Z16" s="4369"/>
      <c r="AA16" s="2708"/>
      <c r="AB16" s="4811"/>
      <c r="AC16" s="4811"/>
      <c r="AD16" s="4811"/>
      <c r="AE16" s="4811"/>
      <c r="AF16" s="4811"/>
      <c r="AG16" s="4811"/>
      <c r="AH16" s="4811"/>
      <c r="AI16" s="4811"/>
      <c r="AJ16" s="4811"/>
      <c r="AK16" s="4811"/>
      <c r="AL16" s="4811"/>
      <c r="AM16" s="4811"/>
      <c r="AN16" s="4000"/>
      <c r="AO16" s="4000"/>
      <c r="AP16" s="4000"/>
      <c r="AQ16" s="4000"/>
      <c r="AR16" s="4000"/>
      <c r="AS16" s="4000"/>
      <c r="AT16" s="4000"/>
      <c r="AU16" s="4000"/>
      <c r="AV16" s="4000"/>
      <c r="AW16" s="4000"/>
      <c r="AX16" s="4000"/>
      <c r="AY16" s="4000"/>
      <c r="AZ16" s="4607">
        <v>0</v>
      </c>
      <c r="BA16" s="4607">
        <v>0</v>
      </c>
      <c r="BB16" s="4607">
        <v>0</v>
      </c>
      <c r="BC16" s="3186">
        <v>0</v>
      </c>
      <c r="BD16" s="4607" t="s">
        <v>230</v>
      </c>
      <c r="BE16" s="4607" t="s">
        <v>2148</v>
      </c>
      <c r="BF16" s="3080">
        <v>42597</v>
      </c>
      <c r="BG16" s="2578"/>
      <c r="BH16" s="3080">
        <v>42735</v>
      </c>
      <c r="BI16" s="4648"/>
      <c r="BJ16" s="3988"/>
    </row>
    <row r="17" spans="1:62" ht="85.5" customHeight="1" x14ac:dyDescent="0.2">
      <c r="A17" s="4822"/>
      <c r="B17" s="3423"/>
      <c r="C17" s="2983"/>
      <c r="D17" s="4236"/>
      <c r="E17" s="4829"/>
      <c r="F17" s="4237"/>
      <c r="G17" s="3044"/>
      <c r="H17" s="3088"/>
      <c r="I17" s="3045"/>
      <c r="J17" s="4808"/>
      <c r="K17" s="2988"/>
      <c r="L17" s="2709"/>
      <c r="M17" s="2709"/>
      <c r="N17" s="2674"/>
      <c r="O17" s="2708"/>
      <c r="P17" s="2708"/>
      <c r="Q17" s="2987"/>
      <c r="R17" s="3099"/>
      <c r="S17" s="3105"/>
      <c r="T17" s="3055"/>
      <c r="U17" s="3055"/>
      <c r="V17" s="4817"/>
      <c r="W17" s="3105"/>
      <c r="X17" s="4162"/>
      <c r="Y17" s="4162"/>
      <c r="Z17" s="4369"/>
      <c r="AA17" s="2708"/>
      <c r="AB17" s="4811"/>
      <c r="AC17" s="4811"/>
      <c r="AD17" s="4811"/>
      <c r="AE17" s="4811"/>
      <c r="AF17" s="4811"/>
      <c r="AG17" s="4811"/>
      <c r="AH17" s="4811"/>
      <c r="AI17" s="4811"/>
      <c r="AJ17" s="4811"/>
      <c r="AK17" s="4811"/>
      <c r="AL17" s="4811"/>
      <c r="AM17" s="4811"/>
      <c r="AN17" s="4000"/>
      <c r="AO17" s="4000"/>
      <c r="AP17" s="4000"/>
      <c r="AQ17" s="4000"/>
      <c r="AR17" s="4000"/>
      <c r="AS17" s="4000"/>
      <c r="AT17" s="4000"/>
      <c r="AU17" s="4000"/>
      <c r="AV17" s="4000"/>
      <c r="AW17" s="4000"/>
      <c r="AX17" s="4000"/>
      <c r="AY17" s="4000"/>
      <c r="AZ17" s="4607"/>
      <c r="BA17" s="4607"/>
      <c r="BB17" s="4607"/>
      <c r="BC17" s="3186"/>
      <c r="BD17" s="4607"/>
      <c r="BE17" s="4607"/>
      <c r="BF17" s="3082"/>
      <c r="BG17" s="2580"/>
      <c r="BH17" s="3082"/>
      <c r="BI17" s="4648"/>
      <c r="BJ17" s="3988"/>
    </row>
    <row r="18" spans="1:62" ht="86.25" thickBot="1" x14ac:dyDescent="0.25">
      <c r="A18" s="4822"/>
      <c r="B18" s="4823"/>
      <c r="C18" s="4824"/>
      <c r="D18" s="4830"/>
      <c r="E18" s="4831"/>
      <c r="F18" s="4832"/>
      <c r="G18" s="4411"/>
      <c r="H18" s="4837"/>
      <c r="I18" s="4412"/>
      <c r="J18" s="2047">
        <v>225</v>
      </c>
      <c r="K18" s="2048" t="s">
        <v>2153</v>
      </c>
      <c r="L18" s="2567" t="s">
        <v>19</v>
      </c>
      <c r="M18" s="2567">
        <v>1</v>
      </c>
      <c r="N18" s="2076">
        <v>0</v>
      </c>
      <c r="O18" s="4813"/>
      <c r="P18" s="4813"/>
      <c r="Q18" s="4814"/>
      <c r="R18" s="2049">
        <v>0.04</v>
      </c>
      <c r="S18" s="2050">
        <v>2000000</v>
      </c>
      <c r="T18" s="4410"/>
      <c r="U18" s="4410"/>
      <c r="V18" s="2051" t="s">
        <v>2154</v>
      </c>
      <c r="W18" s="2050">
        <v>2000000</v>
      </c>
      <c r="X18" s="124">
        <v>0</v>
      </c>
      <c r="Y18" s="124">
        <v>0</v>
      </c>
      <c r="Z18" s="4815"/>
      <c r="AA18" s="4813"/>
      <c r="AB18" s="4812"/>
      <c r="AC18" s="4812"/>
      <c r="AD18" s="4812"/>
      <c r="AE18" s="4812"/>
      <c r="AF18" s="4812"/>
      <c r="AG18" s="4812"/>
      <c r="AH18" s="4812"/>
      <c r="AI18" s="4812"/>
      <c r="AJ18" s="4812"/>
      <c r="AK18" s="4812"/>
      <c r="AL18" s="4812"/>
      <c r="AM18" s="4812"/>
      <c r="AN18" s="4809"/>
      <c r="AO18" s="4809"/>
      <c r="AP18" s="4809"/>
      <c r="AQ18" s="4809"/>
      <c r="AR18" s="4809"/>
      <c r="AS18" s="4809"/>
      <c r="AT18" s="4809"/>
      <c r="AU18" s="4809"/>
      <c r="AV18" s="4809"/>
      <c r="AW18" s="4809"/>
      <c r="AX18" s="4809"/>
      <c r="AY18" s="4809"/>
      <c r="AZ18" s="729">
        <v>0</v>
      </c>
      <c r="BA18" s="729">
        <v>0</v>
      </c>
      <c r="BB18" s="729">
        <v>0</v>
      </c>
      <c r="BC18" s="730">
        <v>0</v>
      </c>
      <c r="BD18" s="729" t="s">
        <v>230</v>
      </c>
      <c r="BE18" s="729" t="s">
        <v>2148</v>
      </c>
      <c r="BF18" s="726">
        <v>42597</v>
      </c>
      <c r="BG18" s="727"/>
      <c r="BH18" s="726">
        <v>42725</v>
      </c>
      <c r="BI18" s="728"/>
      <c r="BJ18" s="4806"/>
    </row>
    <row r="19" spans="1:62" s="2" customFormat="1" ht="15.75" thickBot="1" x14ac:dyDescent="0.25">
      <c r="A19" s="4802"/>
      <c r="B19" s="4803"/>
      <c r="C19" s="4803"/>
      <c r="D19" s="4803"/>
      <c r="E19" s="4803"/>
      <c r="F19" s="4803"/>
      <c r="G19" s="4803"/>
      <c r="H19" s="4803"/>
      <c r="I19" s="4803"/>
      <c r="J19" s="4803"/>
      <c r="K19" s="4803"/>
      <c r="L19" s="4803"/>
      <c r="M19" s="4803"/>
      <c r="N19" s="4804"/>
      <c r="O19" s="4803"/>
      <c r="P19" s="4803"/>
      <c r="Q19" s="4803"/>
      <c r="R19" s="4805"/>
      <c r="S19" s="709">
        <f>SUM(S14:S18)</f>
        <v>52000000</v>
      </c>
      <c r="T19" s="1585"/>
      <c r="U19" s="1586"/>
      <c r="V19" s="77"/>
      <c r="W19" s="710">
        <f>SUM(W14:W18)</f>
        <v>52000000</v>
      </c>
      <c r="X19" s="720">
        <f>SUM(X14:X18)</f>
        <v>39902249</v>
      </c>
      <c r="Y19" s="720">
        <f>SUM(Y14:Y18)</f>
        <v>39902249</v>
      </c>
      <c r="Z19" s="711"/>
      <c r="AA19" s="76"/>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12"/>
      <c r="BA19" s="716">
        <f>SUM(BA14:BA18)</f>
        <v>39902249</v>
      </c>
      <c r="BB19" s="716">
        <f>SUM(BB14:BB18)</f>
        <v>39902249</v>
      </c>
      <c r="BC19" s="712"/>
      <c r="BD19" s="712"/>
      <c r="BE19" s="712"/>
      <c r="BF19" s="722"/>
      <c r="BG19" s="723"/>
      <c r="BH19" s="713"/>
      <c r="BI19" s="719"/>
      <c r="BJ19" s="2052"/>
    </row>
    <row r="21" spans="1:62" x14ac:dyDescent="0.2">
      <c r="AC21" s="1523"/>
      <c r="BJ21" s="2417"/>
    </row>
    <row r="23" spans="1:62" ht="15" x14ac:dyDescent="0.25">
      <c r="C23" s="2963" t="s">
        <v>2155</v>
      </c>
      <c r="D23" s="2963"/>
      <c r="E23" s="2963"/>
      <c r="F23" s="2963"/>
      <c r="G23" s="2963"/>
      <c r="H23" s="2963"/>
      <c r="I23" s="2963"/>
      <c r="J23" s="2963"/>
      <c r="BJ23" s="2417"/>
    </row>
    <row r="24" spans="1:62" ht="15" x14ac:dyDescent="0.25">
      <c r="C24" s="2963" t="s">
        <v>2156</v>
      </c>
      <c r="D24" s="2963"/>
      <c r="E24" s="2963"/>
      <c r="F24" s="2963"/>
      <c r="G24" s="2963"/>
      <c r="H24" s="2963"/>
      <c r="I24" s="2963"/>
      <c r="J24" s="2963"/>
      <c r="AB24" s="1523"/>
      <c r="BJ24" s="2417"/>
    </row>
  </sheetData>
  <sheetProtection algorithmName="SHA-512" hashValue="wDuyvQo4O8XtZDPDrcVMIR9k69z/ZNiC/BUBW+5XZ6mgLtbBjKEUQV7uIlm7fYxq4x2kLdlO/hpQyajPIZ5fJQ==" saltValue="esyVT4qPNhFldmK/dnNKYw==" spinCount="100000" sheet="1" objects="1" scenarios="1"/>
  <mergeCells count="118">
    <mergeCell ref="A1:BF4"/>
    <mergeCell ref="A5:M6"/>
    <mergeCell ref="Q5:BJ5"/>
    <mergeCell ref="Q6:AA6"/>
    <mergeCell ref="AB6:AY6"/>
    <mergeCell ref="BF6:BJ6"/>
    <mergeCell ref="S14:S15"/>
    <mergeCell ref="J7:J10"/>
    <mergeCell ref="K7:K10"/>
    <mergeCell ref="L7:L10"/>
    <mergeCell ref="M7:N8"/>
    <mergeCell ref="O7:O10"/>
    <mergeCell ref="P7:P10"/>
    <mergeCell ref="A7:A10"/>
    <mergeCell ref="B7:C10"/>
    <mergeCell ref="D7:D10"/>
    <mergeCell ref="E7:F10"/>
    <mergeCell ref="G7:G10"/>
    <mergeCell ref="H7:I10"/>
    <mergeCell ref="Q7:Q10"/>
    <mergeCell ref="R7:R10"/>
    <mergeCell ref="AB7:AM7"/>
    <mergeCell ref="AN7:AY7"/>
    <mergeCell ref="AZ7:BE7"/>
    <mergeCell ref="BE16:BE17"/>
    <mergeCell ref="BD16:BD17"/>
    <mergeCell ref="BH7:BI8"/>
    <mergeCell ref="BJ7:BJ10"/>
    <mergeCell ref="AB8:AC8"/>
    <mergeCell ref="AD8:AE8"/>
    <mergeCell ref="AF8:AG8"/>
    <mergeCell ref="AH8:AI8"/>
    <mergeCell ref="AJ8:AK8"/>
    <mergeCell ref="AL8:AM8"/>
    <mergeCell ref="AN8:AO8"/>
    <mergeCell ref="AP8:AQ8"/>
    <mergeCell ref="BF7:BG8"/>
    <mergeCell ref="AR8:AS8"/>
    <mergeCell ref="AT8:AU8"/>
    <mergeCell ref="AV8:AW8"/>
    <mergeCell ref="AX8:AY8"/>
    <mergeCell ref="AZ8:AZ10"/>
    <mergeCell ref="BA8:BA10"/>
    <mergeCell ref="BB8:BB10"/>
    <mergeCell ref="BC8:BC10"/>
    <mergeCell ref="BD8:BD10"/>
    <mergeCell ref="BE8:BE10"/>
    <mergeCell ref="AB14:AB18"/>
    <mergeCell ref="AC14:AC18"/>
    <mergeCell ref="AD14:AD18"/>
    <mergeCell ref="R16:R17"/>
    <mergeCell ref="V16:V17"/>
    <mergeCell ref="W16:W17"/>
    <mergeCell ref="B11:BJ11"/>
    <mergeCell ref="A12:A18"/>
    <mergeCell ref="B12:C18"/>
    <mergeCell ref="E12:BJ12"/>
    <mergeCell ref="D13:F18"/>
    <mergeCell ref="H13:BJ13"/>
    <mergeCell ref="G14:I18"/>
    <mergeCell ref="J14:J15"/>
    <mergeCell ref="K14:K15"/>
    <mergeCell ref="O14:O18"/>
    <mergeCell ref="BF16:BF17"/>
    <mergeCell ref="BG16:BG17"/>
    <mergeCell ref="BH16:BH17"/>
    <mergeCell ref="BI16:BI17"/>
    <mergeCell ref="AZ16:AZ17"/>
    <mergeCell ref="BA16:BA17"/>
    <mergeCell ref="BB16:BB17"/>
    <mergeCell ref="BC16:BC17"/>
    <mergeCell ref="AW14:AW18"/>
    <mergeCell ref="AN14:AN18"/>
    <mergeCell ref="AO14:AO18"/>
    <mergeCell ref="AP14:AP18"/>
    <mergeCell ref="AQ14:AQ18"/>
    <mergeCell ref="AR14:AR18"/>
    <mergeCell ref="AS14:AS18"/>
    <mergeCell ref="AH14:AH18"/>
    <mergeCell ref="AI14:AI18"/>
    <mergeCell ref="AJ14:AJ18"/>
    <mergeCell ref="AK14:AK18"/>
    <mergeCell ref="AL14:AL18"/>
    <mergeCell ref="AM14:AM18"/>
    <mergeCell ref="BJ14:BJ18"/>
    <mergeCell ref="J16:J17"/>
    <mergeCell ref="K16:K17"/>
    <mergeCell ref="L16:L17"/>
    <mergeCell ref="M16:M17"/>
    <mergeCell ref="AX14:AX18"/>
    <mergeCell ref="AY14:AY18"/>
    <mergeCell ref="AE14:AE18"/>
    <mergeCell ref="AF14:AF18"/>
    <mergeCell ref="AG14:AG18"/>
    <mergeCell ref="P14:P18"/>
    <mergeCell ref="Q14:Q18"/>
    <mergeCell ref="T14:T18"/>
    <mergeCell ref="U14:U18"/>
    <mergeCell ref="Z14:Z18"/>
    <mergeCell ref="AA14:AA18"/>
    <mergeCell ref="R14:R15"/>
    <mergeCell ref="L14:L15"/>
    <mergeCell ref="M14:M15"/>
    <mergeCell ref="N14:N15"/>
    <mergeCell ref="N16:N17"/>
    <mergeCell ref="AT14:AT18"/>
    <mergeCell ref="AU14:AU18"/>
    <mergeCell ref="AV14:AV18"/>
    <mergeCell ref="C23:J23"/>
    <mergeCell ref="C24:J24"/>
    <mergeCell ref="W7:Y8"/>
    <mergeCell ref="W9:W10"/>
    <mergeCell ref="X9:X10"/>
    <mergeCell ref="Y9:Y10"/>
    <mergeCell ref="X16:X17"/>
    <mergeCell ref="S16:S17"/>
    <mergeCell ref="Y16:Y17"/>
    <mergeCell ref="A19:R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V86"/>
  <sheetViews>
    <sheetView showGridLines="0" topLeftCell="AM1" zoomScale="55" zoomScaleNormal="55" workbookViewId="0">
      <pane ySplit="8" topLeftCell="A48" activePane="bottomLeft" state="frozen"/>
      <selection pane="bottomLeft" activeCell="I126" sqref="I126"/>
    </sheetView>
  </sheetViews>
  <sheetFormatPr baseColWidth="10" defaultColWidth="11.42578125" defaultRowHeight="14.25" x14ac:dyDescent="0.2"/>
  <cols>
    <col min="1" max="1" width="12" style="394" customWidth="1"/>
    <col min="2" max="2" width="4" style="127" customWidth="1"/>
    <col min="3" max="3" width="14.85546875" style="127" customWidth="1"/>
    <col min="4" max="4" width="12.42578125" style="127" customWidth="1"/>
    <col min="5" max="5" width="10" style="127" customWidth="1"/>
    <col min="6" max="6" width="7.7109375" style="127" customWidth="1"/>
    <col min="7" max="7" width="13.140625" style="127" customWidth="1"/>
    <col min="8" max="8" width="8.5703125" style="127" customWidth="1"/>
    <col min="9" max="9" width="15" style="127" customWidth="1"/>
    <col min="10" max="10" width="11.5703125" style="127" customWidth="1"/>
    <col min="11" max="11" width="22.7109375" style="395" customWidth="1"/>
    <col min="12" max="12" width="16.7109375" style="298" customWidth="1"/>
    <col min="13" max="13" width="12" style="298" customWidth="1"/>
    <col min="14" max="14" width="12" style="396" customWidth="1"/>
    <col min="15" max="15" width="30.28515625" style="298" customWidth="1"/>
    <col min="16" max="16" width="10.42578125" style="397" customWidth="1"/>
    <col min="17" max="17" width="29.85546875" style="395" customWidth="1"/>
    <col min="18" max="18" width="12.7109375" style="398" customWidth="1"/>
    <col min="19" max="19" width="21" style="399" customWidth="1"/>
    <col min="20" max="20" width="31.42578125" style="395" customWidth="1"/>
    <col min="21" max="21" width="44.140625" style="395" customWidth="1"/>
    <col min="22" max="22" width="30.5703125" style="395" customWidth="1"/>
    <col min="23" max="23" width="33.28515625" style="400" customWidth="1"/>
    <col min="24" max="24" width="26.140625" style="401" customWidth="1"/>
    <col min="25" max="25" width="30.42578125" style="401" customWidth="1"/>
    <col min="26" max="26" width="11.7109375" style="402" customWidth="1"/>
    <col min="27" max="27" width="16.85546875" style="403" customWidth="1"/>
    <col min="28" max="28" width="13.85546875" style="127" customWidth="1"/>
    <col min="29" max="29" width="13.85546875" style="123" customWidth="1"/>
    <col min="30" max="30" width="13.85546875" style="127" customWidth="1"/>
    <col min="31" max="31" width="13.85546875" style="123" customWidth="1"/>
    <col min="32" max="32" width="13.85546875" style="127" customWidth="1"/>
    <col min="33" max="33" width="13.85546875" style="123" customWidth="1"/>
    <col min="34" max="34" width="13.85546875" style="127" customWidth="1"/>
    <col min="35" max="35" width="13.85546875" style="123" customWidth="1"/>
    <col min="36" max="36" width="13.85546875" style="127" customWidth="1"/>
    <col min="37" max="37" width="13.85546875" style="123" customWidth="1"/>
    <col min="38" max="38" width="13.85546875" style="127" customWidth="1"/>
    <col min="39" max="39" width="13.85546875" style="123" customWidth="1"/>
    <col min="40" max="40" width="13.85546875" style="127" customWidth="1"/>
    <col min="41" max="41" width="13.85546875" style="123" customWidth="1"/>
    <col min="42" max="42" width="13.85546875" style="127" customWidth="1"/>
    <col min="43" max="43" width="13.85546875" style="123" customWidth="1"/>
    <col min="44" max="44" width="13.85546875" style="127" customWidth="1"/>
    <col min="45" max="45" width="13.85546875" style="123" customWidth="1"/>
    <col min="46" max="46" width="13.85546875" style="127" customWidth="1"/>
    <col min="47" max="47" width="13.85546875" style="123" customWidth="1"/>
    <col min="48" max="48" width="13.85546875" style="127" customWidth="1"/>
    <col min="49" max="49" width="13.85546875" style="123" customWidth="1"/>
    <col min="50" max="50" width="13.85546875" style="127" customWidth="1"/>
    <col min="51" max="51" width="13.85546875" style="123" customWidth="1"/>
    <col min="52" max="52" width="22.7109375" style="127" customWidth="1"/>
    <col min="53" max="54" width="22.7109375" style="404" customWidth="1"/>
    <col min="55" max="55" width="22.7109375" style="127" customWidth="1"/>
    <col min="56" max="56" width="17.85546875" style="127" customWidth="1"/>
    <col min="57" max="57" width="22.7109375" style="405" customWidth="1"/>
    <col min="58" max="58" width="22.7109375" style="406" customWidth="1"/>
    <col min="59" max="59" width="22.7109375" style="407" customWidth="1"/>
    <col min="60" max="60" width="22.7109375" style="408" customWidth="1"/>
    <col min="61" max="61" width="22.7109375" style="409" customWidth="1"/>
    <col min="62" max="62" width="28.7109375" style="410" customWidth="1"/>
    <col min="63" max="16384" width="11.42578125" style="127"/>
  </cols>
  <sheetData>
    <row r="1" spans="1:62" s="4" customFormat="1" ht="15" customHeight="1"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2742"/>
      <c r="BD1" s="2742"/>
      <c r="BE1" s="2742"/>
      <c r="BF1" s="2742"/>
      <c r="BG1" s="2083"/>
      <c r="BI1" s="1895" t="s">
        <v>1</v>
      </c>
      <c r="BJ1" s="1895" t="s">
        <v>2</v>
      </c>
    </row>
    <row r="2" spans="1:62" s="4" customFormat="1"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2742"/>
      <c r="BD2" s="2742"/>
      <c r="BE2" s="2742"/>
      <c r="BF2" s="2742"/>
      <c r="BG2" s="2083"/>
      <c r="BI2" s="1896" t="s">
        <v>3</v>
      </c>
      <c r="BJ2" s="1897">
        <v>5</v>
      </c>
    </row>
    <row r="3" spans="1:62" s="4" customFormat="1"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2742"/>
      <c r="BD3" s="2742"/>
      <c r="BE3" s="2742"/>
      <c r="BF3" s="2742"/>
      <c r="BG3" s="2083"/>
      <c r="BI3" s="1895" t="s">
        <v>4</v>
      </c>
      <c r="BJ3" s="1898" t="s">
        <v>5</v>
      </c>
    </row>
    <row r="4" spans="1:62" s="24" customFormat="1" ht="21"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2743"/>
      <c r="BD4" s="2743"/>
      <c r="BE4" s="2743"/>
      <c r="BF4" s="2743"/>
      <c r="BG4" s="2084"/>
      <c r="BI4" s="679" t="s">
        <v>6</v>
      </c>
      <c r="BJ4" s="1899" t="s">
        <v>7</v>
      </c>
    </row>
    <row r="5" spans="1:62"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2" s="4" customFormat="1"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2" ht="36" customHeight="1" x14ac:dyDescent="0.2">
      <c r="A7" s="2762" t="s">
        <v>11</v>
      </c>
      <c r="B7" s="2760" t="s">
        <v>12</v>
      </c>
      <c r="C7" s="2761"/>
      <c r="D7" s="2758" t="s">
        <v>11</v>
      </c>
      <c r="E7" s="2760" t="s">
        <v>13</v>
      </c>
      <c r="F7" s="2761"/>
      <c r="G7" s="2758" t="s">
        <v>11</v>
      </c>
      <c r="H7" s="2760" t="s">
        <v>14</v>
      </c>
      <c r="I7" s="2761"/>
      <c r="J7" s="2758" t="s">
        <v>11</v>
      </c>
      <c r="K7" s="2758" t="s">
        <v>15</v>
      </c>
      <c r="L7" s="2758" t="s">
        <v>16</v>
      </c>
      <c r="M7" s="2760" t="s">
        <v>17</v>
      </c>
      <c r="N7" s="2761"/>
      <c r="O7" s="2758" t="s">
        <v>18</v>
      </c>
      <c r="P7" s="2758" t="s">
        <v>19</v>
      </c>
      <c r="Q7" s="2758" t="s">
        <v>9</v>
      </c>
      <c r="R7" s="2768" t="s">
        <v>20</v>
      </c>
      <c r="S7" s="2770" t="s">
        <v>21</v>
      </c>
      <c r="T7" s="2758" t="s">
        <v>22</v>
      </c>
      <c r="U7" s="2758" t="s">
        <v>23</v>
      </c>
      <c r="V7" s="2758" t="s">
        <v>24</v>
      </c>
      <c r="W7" s="2778" t="s">
        <v>21</v>
      </c>
      <c r="X7" s="2779"/>
      <c r="Y7" s="2780"/>
      <c r="Z7" s="2781" t="s">
        <v>11</v>
      </c>
      <c r="AA7" s="2758" t="s">
        <v>25</v>
      </c>
      <c r="AB7" s="2772" t="s">
        <v>26</v>
      </c>
      <c r="AC7" s="2773"/>
      <c r="AD7" s="2773"/>
      <c r="AE7" s="2773"/>
      <c r="AF7" s="2773"/>
      <c r="AG7" s="2773"/>
      <c r="AH7" s="2773"/>
      <c r="AI7" s="2773"/>
      <c r="AJ7" s="2773"/>
      <c r="AK7" s="2773"/>
      <c r="AL7" s="2773"/>
      <c r="AM7" s="2774"/>
      <c r="AN7" s="2772" t="s">
        <v>27</v>
      </c>
      <c r="AO7" s="2773"/>
      <c r="AP7" s="2773"/>
      <c r="AQ7" s="2773"/>
      <c r="AR7" s="2773"/>
      <c r="AS7" s="2773"/>
      <c r="AT7" s="2773"/>
      <c r="AU7" s="2773"/>
      <c r="AV7" s="2773"/>
      <c r="AW7" s="2773"/>
      <c r="AX7" s="2773"/>
      <c r="AY7" s="2774"/>
      <c r="AZ7" s="2775" t="s">
        <v>28</v>
      </c>
      <c r="BA7" s="2776"/>
      <c r="BB7" s="2776"/>
      <c r="BC7" s="2776"/>
      <c r="BD7" s="2776"/>
      <c r="BE7" s="2777"/>
      <c r="BF7" s="2766" t="s">
        <v>29</v>
      </c>
      <c r="BG7" s="2767"/>
      <c r="BH7" s="2766" t="s">
        <v>30</v>
      </c>
      <c r="BI7" s="2767"/>
      <c r="BJ7" s="1565" t="s">
        <v>31</v>
      </c>
    </row>
    <row r="8" spans="1:62" ht="28.5" customHeight="1" x14ac:dyDescent="0.2">
      <c r="A8" s="2763"/>
      <c r="B8" s="2764"/>
      <c r="C8" s="2765"/>
      <c r="D8" s="2759"/>
      <c r="E8" s="2764"/>
      <c r="F8" s="2765"/>
      <c r="G8" s="2759"/>
      <c r="H8" s="2764"/>
      <c r="I8" s="2765"/>
      <c r="J8" s="2759"/>
      <c r="K8" s="2759"/>
      <c r="L8" s="2759"/>
      <c r="M8" s="264" t="s">
        <v>121</v>
      </c>
      <c r="N8" s="86" t="s">
        <v>51</v>
      </c>
      <c r="O8" s="2759"/>
      <c r="P8" s="2759"/>
      <c r="Q8" s="2759"/>
      <c r="R8" s="2769"/>
      <c r="S8" s="2771"/>
      <c r="T8" s="2759"/>
      <c r="U8" s="2759"/>
      <c r="V8" s="2759"/>
      <c r="W8" s="264" t="s">
        <v>52</v>
      </c>
      <c r="X8" s="86" t="s">
        <v>53</v>
      </c>
      <c r="Y8" s="86" t="s">
        <v>54</v>
      </c>
      <c r="Z8" s="2782"/>
      <c r="AA8" s="2759"/>
      <c r="AB8" s="264" t="s">
        <v>121</v>
      </c>
      <c r="AC8" s="86" t="s">
        <v>51</v>
      </c>
      <c r="AD8" s="264" t="s">
        <v>121</v>
      </c>
      <c r="AE8" s="86" t="s">
        <v>51</v>
      </c>
      <c r="AF8" s="264" t="s">
        <v>121</v>
      </c>
      <c r="AG8" s="86" t="s">
        <v>51</v>
      </c>
      <c r="AH8" s="264" t="s">
        <v>121</v>
      </c>
      <c r="AI8" s="86" t="s">
        <v>51</v>
      </c>
      <c r="AJ8" s="264" t="s">
        <v>121</v>
      </c>
      <c r="AK8" s="86" t="s">
        <v>51</v>
      </c>
      <c r="AL8" s="264" t="s">
        <v>121</v>
      </c>
      <c r="AM8" s="86" t="s">
        <v>51</v>
      </c>
      <c r="AN8" s="264" t="s">
        <v>121</v>
      </c>
      <c r="AO8" s="86" t="s">
        <v>51</v>
      </c>
      <c r="AP8" s="264" t="s">
        <v>121</v>
      </c>
      <c r="AQ8" s="86" t="s">
        <v>51</v>
      </c>
      <c r="AR8" s="264" t="s">
        <v>121</v>
      </c>
      <c r="AS8" s="86" t="s">
        <v>51</v>
      </c>
      <c r="AT8" s="264" t="s">
        <v>121</v>
      </c>
      <c r="AU8" s="86" t="s">
        <v>51</v>
      </c>
      <c r="AV8" s="264" t="s">
        <v>121</v>
      </c>
      <c r="AW8" s="86" t="s">
        <v>51</v>
      </c>
      <c r="AX8" s="264" t="s">
        <v>121</v>
      </c>
      <c r="AY8" s="86" t="s">
        <v>51</v>
      </c>
      <c r="AZ8" s="2376"/>
      <c r="BA8" s="1566"/>
      <c r="BB8" s="1566"/>
      <c r="BC8" s="1567"/>
      <c r="BD8" s="2376"/>
      <c r="BE8" s="2375"/>
      <c r="BF8" s="265" t="s">
        <v>50</v>
      </c>
      <c r="BG8" s="266" t="s">
        <v>51</v>
      </c>
      <c r="BH8" s="265" t="s">
        <v>50</v>
      </c>
      <c r="BI8" s="267" t="s">
        <v>51</v>
      </c>
      <c r="BJ8" s="268"/>
    </row>
    <row r="9" spans="1:62" s="283" customFormat="1" ht="29.25" customHeight="1" x14ac:dyDescent="0.2">
      <c r="A9" s="269">
        <v>5</v>
      </c>
      <c r="B9" s="270" t="s">
        <v>55</v>
      </c>
      <c r="C9" s="270"/>
      <c r="D9" s="270"/>
      <c r="E9" s="270"/>
      <c r="F9" s="270"/>
      <c r="G9" s="270"/>
      <c r="H9" s="270"/>
      <c r="I9" s="270"/>
      <c r="J9" s="270"/>
      <c r="K9" s="271"/>
      <c r="L9" s="270"/>
      <c r="M9" s="270"/>
      <c r="N9" s="272"/>
      <c r="O9" s="270"/>
      <c r="P9" s="273"/>
      <c r="Q9" s="271"/>
      <c r="R9" s="274"/>
      <c r="S9" s="275"/>
      <c r="T9" s="271"/>
      <c r="U9" s="271"/>
      <c r="V9" s="271"/>
      <c r="W9" s="276"/>
      <c r="X9" s="277"/>
      <c r="Y9" s="277"/>
      <c r="Z9" s="278"/>
      <c r="AA9" s="273"/>
      <c r="AB9" s="270"/>
      <c r="AC9" s="272"/>
      <c r="AD9" s="270"/>
      <c r="AE9" s="272"/>
      <c r="AF9" s="270"/>
      <c r="AG9" s="272"/>
      <c r="AH9" s="270"/>
      <c r="AI9" s="272"/>
      <c r="AJ9" s="270"/>
      <c r="AK9" s="272"/>
      <c r="AL9" s="270"/>
      <c r="AM9" s="272"/>
      <c r="AN9" s="270"/>
      <c r="AO9" s="272"/>
      <c r="AP9" s="270"/>
      <c r="AQ9" s="272"/>
      <c r="AR9" s="270"/>
      <c r="AS9" s="272"/>
      <c r="AT9" s="270"/>
      <c r="AU9" s="272"/>
      <c r="AV9" s="270"/>
      <c r="AW9" s="272"/>
      <c r="AX9" s="270"/>
      <c r="AY9" s="272"/>
      <c r="AZ9" s="270"/>
      <c r="BA9" s="279"/>
      <c r="BB9" s="279"/>
      <c r="BC9" s="270"/>
      <c r="BD9" s="270"/>
      <c r="BE9" s="273"/>
      <c r="BF9" s="280"/>
      <c r="BG9" s="281"/>
      <c r="BH9" s="280"/>
      <c r="BI9" s="281"/>
      <c r="BJ9" s="282"/>
    </row>
    <row r="10" spans="1:62" s="298" customFormat="1" ht="26.25" customHeight="1" x14ac:dyDescent="0.2">
      <c r="A10" s="1285"/>
      <c r="B10" s="1284"/>
      <c r="C10" s="1286"/>
      <c r="D10" s="1309">
        <v>26</v>
      </c>
      <c r="E10" s="1310" t="s">
        <v>122</v>
      </c>
      <c r="F10" s="1310"/>
      <c r="G10" s="285"/>
      <c r="H10" s="285"/>
      <c r="I10" s="285"/>
      <c r="J10" s="285"/>
      <c r="K10" s="286"/>
      <c r="L10" s="285"/>
      <c r="M10" s="285"/>
      <c r="N10" s="287"/>
      <c r="O10" s="285"/>
      <c r="P10" s="288"/>
      <c r="Q10" s="286"/>
      <c r="R10" s="289"/>
      <c r="S10" s="290"/>
      <c r="T10" s="286"/>
      <c r="U10" s="286"/>
      <c r="V10" s="286"/>
      <c r="W10" s="291"/>
      <c r="X10" s="292"/>
      <c r="Y10" s="292"/>
      <c r="Z10" s="293"/>
      <c r="AA10" s="288"/>
      <c r="AB10" s="285"/>
      <c r="AC10" s="287"/>
      <c r="AD10" s="285"/>
      <c r="AE10" s="287"/>
      <c r="AF10" s="285"/>
      <c r="AG10" s="287"/>
      <c r="AH10" s="285"/>
      <c r="AI10" s="287"/>
      <c r="AJ10" s="285"/>
      <c r="AK10" s="287"/>
      <c r="AL10" s="285"/>
      <c r="AM10" s="287"/>
      <c r="AN10" s="285"/>
      <c r="AO10" s="287"/>
      <c r="AP10" s="285"/>
      <c r="AQ10" s="287"/>
      <c r="AR10" s="285"/>
      <c r="AS10" s="287"/>
      <c r="AT10" s="285"/>
      <c r="AU10" s="287"/>
      <c r="AV10" s="285"/>
      <c r="AW10" s="287"/>
      <c r="AX10" s="285"/>
      <c r="AY10" s="287"/>
      <c r="AZ10" s="285"/>
      <c r="BA10" s="294"/>
      <c r="BB10" s="294"/>
      <c r="BC10" s="285"/>
      <c r="BD10" s="285"/>
      <c r="BE10" s="288"/>
      <c r="BF10" s="295"/>
      <c r="BG10" s="296"/>
      <c r="BH10" s="295"/>
      <c r="BI10" s="296"/>
      <c r="BJ10" s="297"/>
    </row>
    <row r="11" spans="1:62" s="298" customFormat="1" ht="28.5" customHeight="1" x14ac:dyDescent="0.2">
      <c r="A11" s="1287"/>
      <c r="B11" s="284"/>
      <c r="C11" s="284"/>
      <c r="D11" s="299"/>
      <c r="E11" s="1284"/>
      <c r="F11" s="1286"/>
      <c r="G11" s="1308">
        <v>83</v>
      </c>
      <c r="H11" s="1292" t="s">
        <v>123</v>
      </c>
      <c r="I11" s="1292"/>
      <c r="J11" s="1292"/>
      <c r="K11" s="1293"/>
      <c r="L11" s="1292"/>
      <c r="M11" s="1292"/>
      <c r="N11" s="1294"/>
      <c r="O11" s="1292"/>
      <c r="P11" s="1295"/>
      <c r="Q11" s="1293"/>
      <c r="R11" s="1296"/>
      <c r="S11" s="1297"/>
      <c r="T11" s="1293"/>
      <c r="U11" s="1293"/>
      <c r="V11" s="1293"/>
      <c r="W11" s="1298"/>
      <c r="X11" s="1299"/>
      <c r="Y11" s="1299"/>
      <c r="Z11" s="1300"/>
      <c r="AA11" s="1295"/>
      <c r="AB11" s="1292"/>
      <c r="AC11" s="1294"/>
      <c r="AD11" s="1292"/>
      <c r="AE11" s="1294"/>
      <c r="AF11" s="1292"/>
      <c r="AG11" s="1294"/>
      <c r="AH11" s="1292"/>
      <c r="AI11" s="1294"/>
      <c r="AJ11" s="1292"/>
      <c r="AK11" s="1294"/>
      <c r="AL11" s="1292"/>
      <c r="AM11" s="1294"/>
      <c r="AN11" s="1292"/>
      <c r="AO11" s="1294"/>
      <c r="AP11" s="1292"/>
      <c r="AQ11" s="1294"/>
      <c r="AR11" s="1292"/>
      <c r="AS11" s="1294"/>
      <c r="AT11" s="1292"/>
      <c r="AU11" s="1294"/>
      <c r="AV11" s="1292"/>
      <c r="AW11" s="1294"/>
      <c r="AX11" s="1292"/>
      <c r="AY11" s="1294"/>
      <c r="AZ11" s="1292"/>
      <c r="BA11" s="1301"/>
      <c r="BB11" s="1301"/>
      <c r="BC11" s="1292"/>
      <c r="BD11" s="1295"/>
      <c r="BE11" s="1295"/>
      <c r="BF11" s="1302"/>
      <c r="BG11" s="1303"/>
      <c r="BH11" s="1302"/>
      <c r="BI11" s="1303"/>
      <c r="BJ11" s="1304"/>
    </row>
    <row r="12" spans="1:62" s="298" customFormat="1" ht="71.25" x14ac:dyDescent="0.2">
      <c r="A12" s="1288"/>
      <c r="B12" s="2180"/>
      <c r="C12" s="2180"/>
      <c r="D12" s="309"/>
      <c r="E12" s="2180"/>
      <c r="F12" s="2186"/>
      <c r="G12" s="1290"/>
      <c r="H12" s="1290"/>
      <c r="I12" s="1290"/>
      <c r="J12" s="2644">
        <v>246</v>
      </c>
      <c r="K12" s="2786" t="s">
        <v>124</v>
      </c>
      <c r="L12" s="2644" t="s">
        <v>19</v>
      </c>
      <c r="M12" s="2644">
        <v>13</v>
      </c>
      <c r="N12" s="2821">
        <v>13</v>
      </c>
      <c r="O12" s="2644" t="s">
        <v>125</v>
      </c>
      <c r="P12" s="2644">
        <v>6</v>
      </c>
      <c r="Q12" s="2786" t="s">
        <v>126</v>
      </c>
      <c r="R12" s="2587">
        <v>1</v>
      </c>
      <c r="S12" s="2584">
        <v>30000000</v>
      </c>
      <c r="T12" s="2786" t="s">
        <v>127</v>
      </c>
      <c r="U12" s="2792" t="s">
        <v>128</v>
      </c>
      <c r="V12" s="1307" t="s">
        <v>129</v>
      </c>
      <c r="W12" s="2296">
        <v>1800000</v>
      </c>
      <c r="X12" s="2295">
        <v>1500000</v>
      </c>
      <c r="Y12" s="2295">
        <v>1500000</v>
      </c>
      <c r="Z12" s="2795">
        <v>20</v>
      </c>
      <c r="AA12" s="2644" t="s">
        <v>130</v>
      </c>
      <c r="AB12" s="2789">
        <v>64149</v>
      </c>
      <c r="AC12" s="2783">
        <f>+AB12/($W$12+$W$13+$W$14+$W$15+$W$16+$W$17+$W$18+$W$19+$W$20+$W$21)*($Y$12+$Y$13+$Y$16+$Y$17)</f>
        <v>15160.547</v>
      </c>
      <c r="AD12" s="2789">
        <v>72224</v>
      </c>
      <c r="AE12" s="2783">
        <f>+AD12/($W$12+$W$13+$W$14+$W$15+$W$16+$W$17+$W$18+$W$19+$W$20+$W$21)*($Y$12+$Y$13+$Y$16+$Y$17)</f>
        <v>17068.938666666669</v>
      </c>
      <c r="AF12" s="2789">
        <v>27477</v>
      </c>
      <c r="AG12" s="2783">
        <f>+AF12/($W$12+$W$13+$W$14+$W$15+$W$16+$W$17+$W$18+$W$19+$W$20+$W$21)*($Y$12+$Y$13+$Y$16+$Y$17)</f>
        <v>6493.7309999999998</v>
      </c>
      <c r="AH12" s="2789">
        <v>86843</v>
      </c>
      <c r="AI12" s="2783">
        <f>+AH12/($W$12+$W$13+$W$14+$W$15+$W$16+$W$17+$W$18+$W$19+$W$20+$W$21)*($Y$12+$Y$13+$Y$16+$Y$17)</f>
        <v>20523.895666666667</v>
      </c>
      <c r="AJ12" s="2789">
        <v>236429</v>
      </c>
      <c r="AK12" s="2783">
        <f>+AJ12/($W$12+$W$13+$W$14+$W$15+$W$16+$W$17+$W$18+$W$19+$W$20+$W$21)*($Y$12+$Y$13+$Y$16+$Y$17)</f>
        <v>55876.053666666659</v>
      </c>
      <c r="AL12" s="2789">
        <v>81384</v>
      </c>
      <c r="AM12" s="2783">
        <f>+AL12/($W$12+$W$13+$W$14+$W$15+$W$16+$W$17+$W$18+$W$19+$W$20+$W$21)*($Y$12+$Y$13+$Y$16+$Y$17)</f>
        <v>19233.752</v>
      </c>
      <c r="AN12" s="2795">
        <v>12718</v>
      </c>
      <c r="AO12" s="2783">
        <f>+AN12/($W$12+$W$13+$W$14+$W$15+$W$16+$W$17+$W$18+$W$19+$W$20+$W$21)*($Y$12+$Y$13+$Y$16+$Y$17)</f>
        <v>3005.6873333333333</v>
      </c>
      <c r="AP12" s="2795">
        <v>2145</v>
      </c>
      <c r="AQ12" s="2783">
        <f>+AP12/($W$12+$W$13+$W$14+$W$15+$W$16+$W$17+$W$18+$W$19+$W$20+$W$21)*($Y$12+$Y$13+$Y$16+$Y$17)</f>
        <v>506.935</v>
      </c>
      <c r="AR12" s="2795">
        <v>413</v>
      </c>
      <c r="AS12" s="2783">
        <f>+AR12/($W$12+$W$13+$W$14+$W$15+$W$16+$W$17+$W$18+$W$19+$W$20+$W$21)*($Y$12+$Y$13+$Y$16+$Y$17)</f>
        <v>97.605666666666664</v>
      </c>
      <c r="AT12" s="2795">
        <v>78</v>
      </c>
      <c r="AU12" s="2783">
        <f>+AT12/($W$12+$W$13+$W$14+$W$15+$W$16+$W$17+$W$18+$W$19+$W$20+$W$21)*($Y$12+$Y$13+$Y$16+$Y$17)</f>
        <v>18.434000000000001</v>
      </c>
      <c r="AV12" s="2795">
        <v>16897</v>
      </c>
      <c r="AW12" s="2783">
        <f>+AV12/($W$12+$W$13+$W$14+$W$15+$W$16+$W$17+$W$18+$W$19+$W$20+$W$21)*($Y$12+$Y$13+$Y$16+$Y$17)</f>
        <v>3993.3243333333335</v>
      </c>
      <c r="AX12" s="2789">
        <v>81384</v>
      </c>
      <c r="AY12" s="2783">
        <f>+AX12/($W$12+$W$13+$W$14+$W$15+$W$16+$W$17+$W$18+$W$19+$W$20+$W$21)*($Y$12+$Y$13+$Y$16+$Y$17)</f>
        <v>19233.752</v>
      </c>
      <c r="AZ12" s="2789">
        <v>2</v>
      </c>
      <c r="BA12" s="2809">
        <v>20000000</v>
      </c>
      <c r="BB12" s="2809">
        <v>20000000</v>
      </c>
      <c r="BC12" s="2812">
        <f>BB12/BA12</f>
        <v>1</v>
      </c>
      <c r="BD12" s="2795" t="s">
        <v>131</v>
      </c>
      <c r="BE12" s="2795" t="s">
        <v>132</v>
      </c>
      <c r="BF12" s="2801">
        <v>42597</v>
      </c>
      <c r="BG12" s="2798">
        <v>42601</v>
      </c>
      <c r="BH12" s="2801">
        <v>42719</v>
      </c>
      <c r="BI12" s="2798">
        <v>42722</v>
      </c>
      <c r="BJ12" s="2804" t="s">
        <v>133</v>
      </c>
    </row>
    <row r="13" spans="1:62" s="298" customFormat="1" ht="71.25" customHeight="1" x14ac:dyDescent="0.2">
      <c r="A13" s="1288"/>
      <c r="B13" s="2180"/>
      <c r="C13" s="2180"/>
      <c r="D13" s="309"/>
      <c r="E13" s="2180"/>
      <c r="F13" s="2186"/>
      <c r="G13" s="2180"/>
      <c r="H13" s="2180"/>
      <c r="I13" s="2180"/>
      <c r="J13" s="2645"/>
      <c r="K13" s="2787"/>
      <c r="L13" s="2645"/>
      <c r="M13" s="2645"/>
      <c r="N13" s="2822"/>
      <c r="O13" s="2645"/>
      <c r="P13" s="2645"/>
      <c r="Q13" s="2787"/>
      <c r="R13" s="2588"/>
      <c r="S13" s="2585"/>
      <c r="T13" s="2787"/>
      <c r="U13" s="2793"/>
      <c r="V13" s="310" t="s">
        <v>134</v>
      </c>
      <c r="W13" s="2142">
        <v>3750000</v>
      </c>
      <c r="X13" s="2127">
        <v>3000000</v>
      </c>
      <c r="Y13" s="2127">
        <f>X13</f>
        <v>3000000</v>
      </c>
      <c r="Z13" s="2796"/>
      <c r="AA13" s="2645"/>
      <c r="AB13" s="2790"/>
      <c r="AC13" s="2784"/>
      <c r="AD13" s="2790"/>
      <c r="AE13" s="2784"/>
      <c r="AF13" s="2790"/>
      <c r="AG13" s="2784"/>
      <c r="AH13" s="2790"/>
      <c r="AI13" s="2784"/>
      <c r="AJ13" s="2790"/>
      <c r="AK13" s="2784"/>
      <c r="AL13" s="2790"/>
      <c r="AM13" s="2784"/>
      <c r="AN13" s="2796"/>
      <c r="AO13" s="2784"/>
      <c r="AP13" s="2796"/>
      <c r="AQ13" s="2784"/>
      <c r="AR13" s="2796"/>
      <c r="AS13" s="2784"/>
      <c r="AT13" s="2796"/>
      <c r="AU13" s="2784"/>
      <c r="AV13" s="2796"/>
      <c r="AW13" s="2784"/>
      <c r="AX13" s="2790"/>
      <c r="AY13" s="2784"/>
      <c r="AZ13" s="2790"/>
      <c r="BA13" s="2810"/>
      <c r="BB13" s="2810"/>
      <c r="BC13" s="2813"/>
      <c r="BD13" s="2796"/>
      <c r="BE13" s="2796"/>
      <c r="BF13" s="2802"/>
      <c r="BG13" s="2799"/>
      <c r="BH13" s="2802"/>
      <c r="BI13" s="2799"/>
      <c r="BJ13" s="2805"/>
    </row>
    <row r="14" spans="1:62" s="298" customFormat="1" ht="57" x14ac:dyDescent="0.2">
      <c r="A14" s="1288"/>
      <c r="B14" s="2180"/>
      <c r="C14" s="2180"/>
      <c r="D14" s="309"/>
      <c r="E14" s="2180"/>
      <c r="F14" s="2186"/>
      <c r="G14" s="2180"/>
      <c r="H14" s="2180"/>
      <c r="I14" s="2180"/>
      <c r="J14" s="2645"/>
      <c r="K14" s="2787"/>
      <c r="L14" s="2645"/>
      <c r="M14" s="2645"/>
      <c r="N14" s="2822"/>
      <c r="O14" s="2645"/>
      <c r="P14" s="2645"/>
      <c r="Q14" s="2787"/>
      <c r="R14" s="2588"/>
      <c r="S14" s="2585"/>
      <c r="T14" s="2787"/>
      <c r="U14" s="2793"/>
      <c r="V14" s="310" t="s">
        <v>135</v>
      </c>
      <c r="W14" s="2142">
        <v>5200000</v>
      </c>
      <c r="X14" s="2127">
        <v>4300000</v>
      </c>
      <c r="Y14" s="2127">
        <f>X14</f>
        <v>4300000</v>
      </c>
      <c r="Z14" s="2796"/>
      <c r="AA14" s="2645"/>
      <c r="AB14" s="2790"/>
      <c r="AC14" s="2784"/>
      <c r="AD14" s="2790"/>
      <c r="AE14" s="2784"/>
      <c r="AF14" s="2790"/>
      <c r="AG14" s="2784"/>
      <c r="AH14" s="2790"/>
      <c r="AI14" s="2784"/>
      <c r="AJ14" s="2790"/>
      <c r="AK14" s="2784"/>
      <c r="AL14" s="2790"/>
      <c r="AM14" s="2784"/>
      <c r="AN14" s="2796"/>
      <c r="AO14" s="2784"/>
      <c r="AP14" s="2796"/>
      <c r="AQ14" s="2784"/>
      <c r="AR14" s="2796"/>
      <c r="AS14" s="2784"/>
      <c r="AT14" s="2796"/>
      <c r="AU14" s="2784"/>
      <c r="AV14" s="2796"/>
      <c r="AW14" s="2784"/>
      <c r="AX14" s="2790"/>
      <c r="AY14" s="2784"/>
      <c r="AZ14" s="2790"/>
      <c r="BA14" s="2810"/>
      <c r="BB14" s="2810"/>
      <c r="BC14" s="2813"/>
      <c r="BD14" s="2796"/>
      <c r="BE14" s="2796"/>
      <c r="BF14" s="2802"/>
      <c r="BG14" s="2799"/>
      <c r="BH14" s="2802"/>
      <c r="BI14" s="2799"/>
      <c r="BJ14" s="2805"/>
    </row>
    <row r="15" spans="1:62" s="298" customFormat="1" ht="85.5" x14ac:dyDescent="0.2">
      <c r="A15" s="1288"/>
      <c r="B15" s="2807"/>
      <c r="C15" s="2807"/>
      <c r="D15" s="309"/>
      <c r="E15" s="2807"/>
      <c r="F15" s="2808"/>
      <c r="G15" s="2180"/>
      <c r="H15" s="2807"/>
      <c r="I15" s="2807"/>
      <c r="J15" s="2645"/>
      <c r="K15" s="2787"/>
      <c r="L15" s="2645"/>
      <c r="M15" s="2645"/>
      <c r="N15" s="2822"/>
      <c r="O15" s="2645"/>
      <c r="P15" s="2645"/>
      <c r="Q15" s="2787"/>
      <c r="R15" s="2588"/>
      <c r="S15" s="2585"/>
      <c r="T15" s="2787"/>
      <c r="U15" s="2794"/>
      <c r="V15" s="310" t="s">
        <v>136</v>
      </c>
      <c r="W15" s="2296">
        <v>1500000</v>
      </c>
      <c r="X15" s="2127">
        <v>1200000</v>
      </c>
      <c r="Y15" s="2127">
        <f>X15</f>
        <v>1200000</v>
      </c>
      <c r="Z15" s="2796"/>
      <c r="AA15" s="2645"/>
      <c r="AB15" s="2790"/>
      <c r="AC15" s="2784"/>
      <c r="AD15" s="2790"/>
      <c r="AE15" s="2784"/>
      <c r="AF15" s="2790"/>
      <c r="AG15" s="2784"/>
      <c r="AH15" s="2790"/>
      <c r="AI15" s="2784"/>
      <c r="AJ15" s="2790"/>
      <c r="AK15" s="2784"/>
      <c r="AL15" s="2790"/>
      <c r="AM15" s="2784"/>
      <c r="AN15" s="2796"/>
      <c r="AO15" s="2784"/>
      <c r="AP15" s="2796"/>
      <c r="AQ15" s="2784"/>
      <c r="AR15" s="2796"/>
      <c r="AS15" s="2784"/>
      <c r="AT15" s="2796"/>
      <c r="AU15" s="2784"/>
      <c r="AV15" s="2796"/>
      <c r="AW15" s="2784"/>
      <c r="AX15" s="2790"/>
      <c r="AY15" s="2784"/>
      <c r="AZ15" s="2790"/>
      <c r="BA15" s="2810"/>
      <c r="BB15" s="2810"/>
      <c r="BC15" s="2813"/>
      <c r="BD15" s="2796"/>
      <c r="BE15" s="2796"/>
      <c r="BF15" s="2802"/>
      <c r="BG15" s="2799"/>
      <c r="BH15" s="2802"/>
      <c r="BI15" s="2799"/>
      <c r="BJ15" s="2805"/>
    </row>
    <row r="16" spans="1:62" s="298" customFormat="1" ht="102.75" customHeight="1" x14ac:dyDescent="0.2">
      <c r="A16" s="1288"/>
      <c r="B16" s="2180"/>
      <c r="C16" s="2180"/>
      <c r="D16" s="309"/>
      <c r="E16" s="2180"/>
      <c r="F16" s="2186"/>
      <c r="G16" s="2180"/>
      <c r="H16" s="2180"/>
      <c r="I16" s="2180"/>
      <c r="J16" s="2645"/>
      <c r="K16" s="2787"/>
      <c r="L16" s="2645"/>
      <c r="M16" s="2645"/>
      <c r="N16" s="2822"/>
      <c r="O16" s="2645"/>
      <c r="P16" s="2645"/>
      <c r="Q16" s="2787"/>
      <c r="R16" s="2588"/>
      <c r="S16" s="2585"/>
      <c r="T16" s="2787"/>
      <c r="U16" s="2786" t="s">
        <v>137</v>
      </c>
      <c r="V16" s="310" t="s">
        <v>138</v>
      </c>
      <c r="W16" s="2142">
        <v>1800000</v>
      </c>
      <c r="X16" s="2127">
        <v>1510000</v>
      </c>
      <c r="Y16" s="2127">
        <v>1510000</v>
      </c>
      <c r="Z16" s="2796"/>
      <c r="AA16" s="2645"/>
      <c r="AB16" s="2790"/>
      <c r="AC16" s="2784"/>
      <c r="AD16" s="2790"/>
      <c r="AE16" s="2784"/>
      <c r="AF16" s="2790"/>
      <c r="AG16" s="2784"/>
      <c r="AH16" s="2790"/>
      <c r="AI16" s="2784"/>
      <c r="AJ16" s="2790"/>
      <c r="AK16" s="2784"/>
      <c r="AL16" s="2790"/>
      <c r="AM16" s="2784"/>
      <c r="AN16" s="2796"/>
      <c r="AO16" s="2784"/>
      <c r="AP16" s="2796"/>
      <c r="AQ16" s="2784"/>
      <c r="AR16" s="2796"/>
      <c r="AS16" s="2784"/>
      <c r="AT16" s="2796"/>
      <c r="AU16" s="2784"/>
      <c r="AV16" s="2796"/>
      <c r="AW16" s="2784"/>
      <c r="AX16" s="2790"/>
      <c r="AY16" s="2784"/>
      <c r="AZ16" s="2790"/>
      <c r="BA16" s="2810"/>
      <c r="BB16" s="2810"/>
      <c r="BC16" s="2813"/>
      <c r="BD16" s="2796"/>
      <c r="BE16" s="2796"/>
      <c r="BF16" s="2802"/>
      <c r="BG16" s="2799"/>
      <c r="BH16" s="2802"/>
      <c r="BI16" s="2799"/>
      <c r="BJ16" s="2805"/>
    </row>
    <row r="17" spans="1:62" s="298" customFormat="1" ht="81" customHeight="1" x14ac:dyDescent="0.2">
      <c r="A17" s="1288"/>
      <c r="B17" s="2180"/>
      <c r="C17" s="2180"/>
      <c r="D17" s="309"/>
      <c r="E17" s="2180"/>
      <c r="F17" s="2186"/>
      <c r="G17" s="2180"/>
      <c r="H17" s="2180"/>
      <c r="I17" s="2180"/>
      <c r="J17" s="2645"/>
      <c r="K17" s="2787"/>
      <c r="L17" s="2645"/>
      <c r="M17" s="2645"/>
      <c r="N17" s="2822"/>
      <c r="O17" s="2645"/>
      <c r="P17" s="2645"/>
      <c r="Q17" s="2787"/>
      <c r="R17" s="2588"/>
      <c r="S17" s="2585"/>
      <c r="T17" s="2787"/>
      <c r="U17" s="2787"/>
      <c r="V17" s="310" t="s">
        <v>139</v>
      </c>
      <c r="W17" s="2142">
        <v>1500000</v>
      </c>
      <c r="X17" s="2127">
        <v>1080000</v>
      </c>
      <c r="Y17" s="2127">
        <f>X17</f>
        <v>1080000</v>
      </c>
      <c r="Z17" s="2796"/>
      <c r="AA17" s="2645"/>
      <c r="AB17" s="2790"/>
      <c r="AC17" s="2784"/>
      <c r="AD17" s="2790"/>
      <c r="AE17" s="2784"/>
      <c r="AF17" s="2790"/>
      <c r="AG17" s="2784"/>
      <c r="AH17" s="2790"/>
      <c r="AI17" s="2784"/>
      <c r="AJ17" s="2790"/>
      <c r="AK17" s="2784"/>
      <c r="AL17" s="2790"/>
      <c r="AM17" s="2784"/>
      <c r="AN17" s="2796"/>
      <c r="AO17" s="2784"/>
      <c r="AP17" s="2796"/>
      <c r="AQ17" s="2784"/>
      <c r="AR17" s="2796"/>
      <c r="AS17" s="2784"/>
      <c r="AT17" s="2796"/>
      <c r="AU17" s="2784"/>
      <c r="AV17" s="2796"/>
      <c r="AW17" s="2784"/>
      <c r="AX17" s="2790"/>
      <c r="AY17" s="2784"/>
      <c r="AZ17" s="2790"/>
      <c r="BA17" s="2810"/>
      <c r="BB17" s="2810"/>
      <c r="BC17" s="2813"/>
      <c r="BD17" s="2796"/>
      <c r="BE17" s="2796"/>
      <c r="BF17" s="2802"/>
      <c r="BG17" s="2799"/>
      <c r="BH17" s="2802"/>
      <c r="BI17" s="2799"/>
      <c r="BJ17" s="2805"/>
    </row>
    <row r="18" spans="1:62" s="298" customFormat="1" ht="79.5" customHeight="1" x14ac:dyDescent="0.2">
      <c r="A18" s="1288"/>
      <c r="B18" s="2180"/>
      <c r="C18" s="2180"/>
      <c r="D18" s="309"/>
      <c r="E18" s="2180"/>
      <c r="F18" s="2186"/>
      <c r="G18" s="2180"/>
      <c r="H18" s="2180"/>
      <c r="I18" s="2180"/>
      <c r="J18" s="2645"/>
      <c r="K18" s="2787"/>
      <c r="L18" s="2645"/>
      <c r="M18" s="2645"/>
      <c r="N18" s="2822"/>
      <c r="O18" s="2645"/>
      <c r="P18" s="2645"/>
      <c r="Q18" s="2787"/>
      <c r="R18" s="2588"/>
      <c r="S18" s="2585"/>
      <c r="T18" s="2787"/>
      <c r="U18" s="2787"/>
      <c r="V18" s="310" t="s">
        <v>140</v>
      </c>
      <c r="W18" s="2142">
        <v>4800000</v>
      </c>
      <c r="X18" s="2127">
        <v>4290000</v>
      </c>
      <c r="Y18" s="2127">
        <f>X18</f>
        <v>4290000</v>
      </c>
      <c r="Z18" s="2796"/>
      <c r="AA18" s="2645"/>
      <c r="AB18" s="2790"/>
      <c r="AC18" s="2784"/>
      <c r="AD18" s="2790"/>
      <c r="AE18" s="2784"/>
      <c r="AF18" s="2790"/>
      <c r="AG18" s="2784"/>
      <c r="AH18" s="2790"/>
      <c r="AI18" s="2784"/>
      <c r="AJ18" s="2790"/>
      <c r="AK18" s="2784"/>
      <c r="AL18" s="2790"/>
      <c r="AM18" s="2784"/>
      <c r="AN18" s="2796"/>
      <c r="AO18" s="2784"/>
      <c r="AP18" s="2796"/>
      <c r="AQ18" s="2784"/>
      <c r="AR18" s="2796"/>
      <c r="AS18" s="2784"/>
      <c r="AT18" s="2796"/>
      <c r="AU18" s="2784"/>
      <c r="AV18" s="2796"/>
      <c r="AW18" s="2784"/>
      <c r="AX18" s="2790"/>
      <c r="AY18" s="2784"/>
      <c r="AZ18" s="2790"/>
      <c r="BA18" s="2810"/>
      <c r="BB18" s="2810"/>
      <c r="BC18" s="2813"/>
      <c r="BD18" s="2796"/>
      <c r="BE18" s="2796"/>
      <c r="BF18" s="2802"/>
      <c r="BG18" s="2799"/>
      <c r="BH18" s="2802"/>
      <c r="BI18" s="2799"/>
      <c r="BJ18" s="2805"/>
    </row>
    <row r="19" spans="1:62" s="298" customFormat="1" ht="99.75" customHeight="1" x14ac:dyDescent="0.2">
      <c r="A19" s="1288"/>
      <c r="B19" s="2180"/>
      <c r="C19" s="2180"/>
      <c r="D19" s="309"/>
      <c r="E19" s="2180"/>
      <c r="F19" s="2186"/>
      <c r="G19" s="2180"/>
      <c r="H19" s="2180"/>
      <c r="I19" s="2180"/>
      <c r="J19" s="2645"/>
      <c r="K19" s="2787"/>
      <c r="L19" s="2645"/>
      <c r="M19" s="2645"/>
      <c r="N19" s="2822"/>
      <c r="O19" s="2645"/>
      <c r="P19" s="2645"/>
      <c r="Q19" s="2787"/>
      <c r="R19" s="2588"/>
      <c r="S19" s="2585"/>
      <c r="T19" s="2787"/>
      <c r="U19" s="2788"/>
      <c r="V19" s="310" t="s">
        <v>136</v>
      </c>
      <c r="W19" s="2142">
        <v>4200000</v>
      </c>
      <c r="X19" s="2127">
        <v>3120000</v>
      </c>
      <c r="Y19" s="2127">
        <f>X19</f>
        <v>3120000</v>
      </c>
      <c r="Z19" s="2796"/>
      <c r="AA19" s="2645"/>
      <c r="AB19" s="2790"/>
      <c r="AC19" s="2784"/>
      <c r="AD19" s="2790"/>
      <c r="AE19" s="2784"/>
      <c r="AF19" s="2790"/>
      <c r="AG19" s="2784"/>
      <c r="AH19" s="2790"/>
      <c r="AI19" s="2784"/>
      <c r="AJ19" s="2790"/>
      <c r="AK19" s="2784"/>
      <c r="AL19" s="2790"/>
      <c r="AM19" s="2784"/>
      <c r="AN19" s="2796"/>
      <c r="AO19" s="2784"/>
      <c r="AP19" s="2796"/>
      <c r="AQ19" s="2784"/>
      <c r="AR19" s="2796"/>
      <c r="AS19" s="2784"/>
      <c r="AT19" s="2796"/>
      <c r="AU19" s="2784"/>
      <c r="AV19" s="2796"/>
      <c r="AW19" s="2784"/>
      <c r="AX19" s="2790"/>
      <c r="AY19" s="2784"/>
      <c r="AZ19" s="2790"/>
      <c r="BA19" s="2810"/>
      <c r="BB19" s="2810"/>
      <c r="BC19" s="2813"/>
      <c r="BD19" s="2796"/>
      <c r="BE19" s="2796"/>
      <c r="BF19" s="2802"/>
      <c r="BG19" s="2799"/>
      <c r="BH19" s="2802"/>
      <c r="BI19" s="2799"/>
      <c r="BJ19" s="2805"/>
    </row>
    <row r="20" spans="1:62" s="298" customFormat="1" ht="74.25" customHeight="1" x14ac:dyDescent="0.2">
      <c r="A20" s="1288"/>
      <c r="B20" s="2807"/>
      <c r="C20" s="2807"/>
      <c r="D20" s="309"/>
      <c r="E20" s="2807"/>
      <c r="F20" s="2808"/>
      <c r="G20" s="2180"/>
      <c r="H20" s="2807"/>
      <c r="I20" s="2807"/>
      <c r="J20" s="2645"/>
      <c r="K20" s="2787"/>
      <c r="L20" s="2645"/>
      <c r="M20" s="2645"/>
      <c r="N20" s="2822"/>
      <c r="O20" s="2645"/>
      <c r="P20" s="2645"/>
      <c r="Q20" s="2787"/>
      <c r="R20" s="2588"/>
      <c r="S20" s="2585"/>
      <c r="T20" s="2787"/>
      <c r="U20" s="2786" t="s">
        <v>141</v>
      </c>
      <c r="V20" s="2123" t="s">
        <v>142</v>
      </c>
      <c r="W20" s="2296">
        <v>4200000</v>
      </c>
      <c r="X20" s="2127"/>
      <c r="Y20" s="2127"/>
      <c r="Z20" s="2796"/>
      <c r="AA20" s="2645"/>
      <c r="AB20" s="2790"/>
      <c r="AC20" s="2784"/>
      <c r="AD20" s="2790"/>
      <c r="AE20" s="2784"/>
      <c r="AF20" s="2790"/>
      <c r="AG20" s="2784"/>
      <c r="AH20" s="2790"/>
      <c r="AI20" s="2784"/>
      <c r="AJ20" s="2790"/>
      <c r="AK20" s="2784"/>
      <c r="AL20" s="2790"/>
      <c r="AM20" s="2784"/>
      <c r="AN20" s="2796"/>
      <c r="AO20" s="2784"/>
      <c r="AP20" s="2796"/>
      <c r="AQ20" s="2784"/>
      <c r="AR20" s="2796"/>
      <c r="AS20" s="2784"/>
      <c r="AT20" s="2796"/>
      <c r="AU20" s="2784"/>
      <c r="AV20" s="2796"/>
      <c r="AW20" s="2784"/>
      <c r="AX20" s="2790"/>
      <c r="AY20" s="2784"/>
      <c r="AZ20" s="2790"/>
      <c r="BA20" s="2810"/>
      <c r="BB20" s="2810"/>
      <c r="BC20" s="2813"/>
      <c r="BD20" s="2796"/>
      <c r="BE20" s="2796"/>
      <c r="BF20" s="2802"/>
      <c r="BG20" s="2799"/>
      <c r="BH20" s="2802"/>
      <c r="BI20" s="2799"/>
      <c r="BJ20" s="2805"/>
    </row>
    <row r="21" spans="1:62" s="298" customFormat="1" ht="92.25" customHeight="1" x14ac:dyDescent="0.2">
      <c r="A21" s="1289"/>
      <c r="B21" s="2815"/>
      <c r="C21" s="2815"/>
      <c r="D21" s="1291"/>
      <c r="E21" s="2815"/>
      <c r="F21" s="2816"/>
      <c r="G21" s="2181"/>
      <c r="H21" s="2815"/>
      <c r="I21" s="2815"/>
      <c r="J21" s="2646"/>
      <c r="K21" s="2788"/>
      <c r="L21" s="2646"/>
      <c r="M21" s="2646"/>
      <c r="N21" s="2823"/>
      <c r="O21" s="2646"/>
      <c r="P21" s="2646"/>
      <c r="Q21" s="2788"/>
      <c r="R21" s="2589"/>
      <c r="S21" s="2586"/>
      <c r="T21" s="2788"/>
      <c r="U21" s="2788"/>
      <c r="V21" s="2123" t="s">
        <v>143</v>
      </c>
      <c r="W21" s="2296">
        <v>1250000</v>
      </c>
      <c r="X21" s="2295"/>
      <c r="Y21" s="2295"/>
      <c r="Z21" s="2797"/>
      <c r="AA21" s="2646"/>
      <c r="AB21" s="2791"/>
      <c r="AC21" s="2785"/>
      <c r="AD21" s="2791"/>
      <c r="AE21" s="2785"/>
      <c r="AF21" s="2791"/>
      <c r="AG21" s="2785"/>
      <c r="AH21" s="2791"/>
      <c r="AI21" s="2785"/>
      <c r="AJ21" s="2791"/>
      <c r="AK21" s="2785"/>
      <c r="AL21" s="2791"/>
      <c r="AM21" s="2785"/>
      <c r="AN21" s="2797"/>
      <c r="AO21" s="2785"/>
      <c r="AP21" s="2797"/>
      <c r="AQ21" s="2785"/>
      <c r="AR21" s="2797"/>
      <c r="AS21" s="2785"/>
      <c r="AT21" s="2797"/>
      <c r="AU21" s="2785"/>
      <c r="AV21" s="2797"/>
      <c r="AW21" s="2785"/>
      <c r="AX21" s="2791"/>
      <c r="AY21" s="2785"/>
      <c r="AZ21" s="2791"/>
      <c r="BA21" s="2811"/>
      <c r="BB21" s="2811"/>
      <c r="BC21" s="2814"/>
      <c r="BD21" s="2797"/>
      <c r="BE21" s="2797"/>
      <c r="BF21" s="2803"/>
      <c r="BG21" s="2800"/>
      <c r="BH21" s="2803"/>
      <c r="BI21" s="2800"/>
      <c r="BJ21" s="2806"/>
    </row>
    <row r="22" spans="1:62" ht="39.75" customHeight="1" x14ac:dyDescent="0.2">
      <c r="A22" s="311"/>
      <c r="B22" s="283"/>
      <c r="C22" s="283"/>
      <c r="D22" s="334"/>
      <c r="E22" s="283"/>
      <c r="F22" s="283"/>
      <c r="G22" s="1305">
        <v>84</v>
      </c>
      <c r="H22" s="344" t="s">
        <v>144</v>
      </c>
      <c r="I22" s="344"/>
      <c r="J22" s="344"/>
      <c r="K22" s="345"/>
      <c r="L22" s="344"/>
      <c r="M22" s="344"/>
      <c r="N22" s="346"/>
      <c r="O22" s="344"/>
      <c r="P22" s="315"/>
      <c r="Q22" s="345"/>
      <c r="R22" s="347"/>
      <c r="S22" s="348"/>
      <c r="T22" s="345"/>
      <c r="U22" s="349"/>
      <c r="V22" s="349"/>
      <c r="W22" s="1306"/>
      <c r="X22" s="313"/>
      <c r="Y22" s="313"/>
      <c r="Z22" s="314"/>
      <c r="AA22" s="315"/>
      <c r="AB22" s="344"/>
      <c r="AC22" s="346"/>
      <c r="AD22" s="344"/>
      <c r="AE22" s="346"/>
      <c r="AF22" s="344"/>
      <c r="AG22" s="346"/>
      <c r="AH22" s="344"/>
      <c r="AI22" s="346"/>
      <c r="AJ22" s="344"/>
      <c r="AK22" s="346"/>
      <c r="AL22" s="344"/>
      <c r="AM22" s="346"/>
      <c r="AN22" s="344"/>
      <c r="AO22" s="346"/>
      <c r="AP22" s="344"/>
      <c r="AQ22" s="346"/>
      <c r="AR22" s="344"/>
      <c r="AS22" s="346"/>
      <c r="AT22" s="344"/>
      <c r="AU22" s="346"/>
      <c r="AV22" s="344"/>
      <c r="AW22" s="346"/>
      <c r="AX22" s="344"/>
      <c r="AY22" s="346"/>
      <c r="AZ22" s="344"/>
      <c r="BA22" s="352"/>
      <c r="BB22" s="352"/>
      <c r="BC22" s="344"/>
      <c r="BD22" s="344"/>
      <c r="BE22" s="315"/>
      <c r="BF22" s="353"/>
      <c r="BG22" s="354"/>
      <c r="BH22" s="353"/>
      <c r="BI22" s="354"/>
      <c r="BJ22" s="355"/>
    </row>
    <row r="23" spans="1:62" s="298" customFormat="1" ht="137.25" customHeight="1" x14ac:dyDescent="0.2">
      <c r="A23" s="316"/>
      <c r="B23" s="317"/>
      <c r="C23" s="317"/>
      <c r="D23" s="318"/>
      <c r="E23" s="317"/>
      <c r="F23" s="317"/>
      <c r="G23" s="319"/>
      <c r="H23" s="317"/>
      <c r="I23" s="317"/>
      <c r="J23" s="2644">
        <v>248</v>
      </c>
      <c r="K23" s="2786" t="s">
        <v>145</v>
      </c>
      <c r="L23" s="2817" t="s">
        <v>146</v>
      </c>
      <c r="M23" s="2819">
        <v>12</v>
      </c>
      <c r="N23" s="2819">
        <v>12</v>
      </c>
      <c r="O23" s="2644" t="s">
        <v>147</v>
      </c>
      <c r="P23" s="2644">
        <v>15</v>
      </c>
      <c r="Q23" s="2786" t="s">
        <v>148</v>
      </c>
      <c r="R23" s="2828">
        <v>1</v>
      </c>
      <c r="S23" s="2830">
        <v>25000000</v>
      </c>
      <c r="T23" s="2832" t="s">
        <v>149</v>
      </c>
      <c r="U23" s="2786" t="s">
        <v>150</v>
      </c>
      <c r="V23" s="2123" t="s">
        <v>151</v>
      </c>
      <c r="W23" s="320">
        <v>20000000</v>
      </c>
      <c r="X23" s="321">
        <v>20000000</v>
      </c>
      <c r="Y23" s="321">
        <v>20000000</v>
      </c>
      <c r="Z23" s="2824">
        <v>20</v>
      </c>
      <c r="AA23" s="2644" t="s">
        <v>130</v>
      </c>
      <c r="AB23" s="2795">
        <v>64149</v>
      </c>
      <c r="AC23" s="2826"/>
      <c r="AD23" s="2795">
        <v>72224</v>
      </c>
      <c r="AE23" s="2826"/>
      <c r="AF23" s="2795">
        <v>27477</v>
      </c>
      <c r="AG23" s="2826"/>
      <c r="AH23" s="2795">
        <v>86843</v>
      </c>
      <c r="AI23" s="2826"/>
      <c r="AJ23" s="2795">
        <v>236429</v>
      </c>
      <c r="AK23" s="2826"/>
      <c r="AL23" s="2795">
        <v>81384</v>
      </c>
      <c r="AM23" s="2826"/>
      <c r="AN23" s="2795">
        <v>12718</v>
      </c>
      <c r="AO23" s="2826"/>
      <c r="AP23" s="2795">
        <v>2145</v>
      </c>
      <c r="AQ23" s="2826"/>
      <c r="AR23" s="2795">
        <v>413</v>
      </c>
      <c r="AS23" s="2826"/>
      <c r="AT23" s="2795">
        <v>78</v>
      </c>
      <c r="AU23" s="2826"/>
      <c r="AV23" s="2795">
        <v>16897</v>
      </c>
      <c r="AW23" s="2826"/>
      <c r="AX23" s="2795">
        <v>81384</v>
      </c>
      <c r="AY23" s="2826"/>
      <c r="AZ23" s="2795">
        <v>4</v>
      </c>
      <c r="BA23" s="2809">
        <v>20000000</v>
      </c>
      <c r="BB23" s="2809">
        <v>20000000</v>
      </c>
      <c r="BC23" s="2587">
        <f>BB23/BA23</f>
        <v>1</v>
      </c>
      <c r="BD23" s="2644" t="s">
        <v>152</v>
      </c>
      <c r="BE23" s="322" t="s">
        <v>132</v>
      </c>
      <c r="BF23" s="2846">
        <v>42658</v>
      </c>
      <c r="BG23" s="2848">
        <v>42697</v>
      </c>
      <c r="BH23" s="2846">
        <v>42735</v>
      </c>
      <c r="BI23" s="2848">
        <v>42735</v>
      </c>
      <c r="BJ23" s="2838" t="s">
        <v>133</v>
      </c>
    </row>
    <row r="24" spans="1:62" s="298" customFormat="1" ht="85.5" customHeight="1" x14ac:dyDescent="0.2">
      <c r="A24" s="316"/>
      <c r="B24" s="317"/>
      <c r="C24" s="317"/>
      <c r="D24" s="318"/>
      <c r="E24" s="317"/>
      <c r="F24" s="317"/>
      <c r="G24" s="318"/>
      <c r="H24" s="317"/>
      <c r="I24" s="317"/>
      <c r="J24" s="2645"/>
      <c r="K24" s="2787"/>
      <c r="L24" s="2818"/>
      <c r="M24" s="2820"/>
      <c r="N24" s="2820"/>
      <c r="O24" s="2645"/>
      <c r="P24" s="2645"/>
      <c r="Q24" s="2787"/>
      <c r="R24" s="2829"/>
      <c r="S24" s="2831"/>
      <c r="T24" s="2833"/>
      <c r="U24" s="2788"/>
      <c r="V24" s="2123" t="s">
        <v>153</v>
      </c>
      <c r="W24" s="320">
        <v>1500000</v>
      </c>
      <c r="X24" s="321"/>
      <c r="Y24" s="321"/>
      <c r="Z24" s="2825"/>
      <c r="AA24" s="2645"/>
      <c r="AB24" s="2796"/>
      <c r="AC24" s="2827"/>
      <c r="AD24" s="2796"/>
      <c r="AE24" s="2827"/>
      <c r="AF24" s="2796"/>
      <c r="AG24" s="2827"/>
      <c r="AH24" s="2796"/>
      <c r="AI24" s="2827"/>
      <c r="AJ24" s="2796"/>
      <c r="AK24" s="2827"/>
      <c r="AL24" s="2796"/>
      <c r="AM24" s="2827"/>
      <c r="AN24" s="2796"/>
      <c r="AO24" s="2827"/>
      <c r="AP24" s="2796"/>
      <c r="AQ24" s="2827"/>
      <c r="AR24" s="2796"/>
      <c r="AS24" s="2827"/>
      <c r="AT24" s="2796"/>
      <c r="AU24" s="2827"/>
      <c r="AV24" s="2796"/>
      <c r="AW24" s="2827"/>
      <c r="AX24" s="2796"/>
      <c r="AY24" s="2827"/>
      <c r="AZ24" s="2796"/>
      <c r="BA24" s="2810"/>
      <c r="BB24" s="2810"/>
      <c r="BC24" s="2588"/>
      <c r="BD24" s="2645"/>
      <c r="BE24" s="2149"/>
      <c r="BF24" s="2847"/>
      <c r="BG24" s="2849"/>
      <c r="BH24" s="2847"/>
      <c r="BI24" s="2849"/>
      <c r="BJ24" s="2839"/>
    </row>
    <row r="25" spans="1:62" s="298" customFormat="1" ht="160.5" customHeight="1" x14ac:dyDescent="0.2">
      <c r="A25" s="316"/>
      <c r="B25" s="317"/>
      <c r="C25" s="317"/>
      <c r="D25" s="318"/>
      <c r="E25" s="317"/>
      <c r="F25" s="317"/>
      <c r="G25" s="318"/>
      <c r="H25" s="317"/>
      <c r="I25" s="317"/>
      <c r="J25" s="2645"/>
      <c r="K25" s="2787"/>
      <c r="L25" s="2818"/>
      <c r="M25" s="2820"/>
      <c r="N25" s="2820"/>
      <c r="O25" s="2645"/>
      <c r="P25" s="2645"/>
      <c r="Q25" s="2787"/>
      <c r="R25" s="2829"/>
      <c r="S25" s="2831"/>
      <c r="T25" s="2833"/>
      <c r="U25" s="2146" t="s">
        <v>154</v>
      </c>
      <c r="V25" s="2146" t="s">
        <v>155</v>
      </c>
      <c r="W25" s="2162">
        <v>3500000</v>
      </c>
      <c r="X25" s="341"/>
      <c r="Y25" s="341"/>
      <c r="Z25" s="2825"/>
      <c r="AA25" s="2645"/>
      <c r="AB25" s="2796"/>
      <c r="AC25" s="2827"/>
      <c r="AD25" s="2796"/>
      <c r="AE25" s="2827"/>
      <c r="AF25" s="2796"/>
      <c r="AG25" s="2827"/>
      <c r="AH25" s="2796"/>
      <c r="AI25" s="2827"/>
      <c r="AJ25" s="2796"/>
      <c r="AK25" s="2827"/>
      <c r="AL25" s="2796"/>
      <c r="AM25" s="2827"/>
      <c r="AN25" s="2796"/>
      <c r="AO25" s="2827"/>
      <c r="AP25" s="2796"/>
      <c r="AQ25" s="2827"/>
      <c r="AR25" s="2796"/>
      <c r="AS25" s="2827"/>
      <c r="AT25" s="2796"/>
      <c r="AU25" s="2827"/>
      <c r="AV25" s="2796"/>
      <c r="AW25" s="2827"/>
      <c r="AX25" s="2796"/>
      <c r="AY25" s="2827"/>
      <c r="AZ25" s="2796"/>
      <c r="BA25" s="2810"/>
      <c r="BB25" s="2810"/>
      <c r="BC25" s="2588"/>
      <c r="BD25" s="2645"/>
      <c r="BE25" s="2149" t="s">
        <v>156</v>
      </c>
      <c r="BF25" s="2847"/>
      <c r="BG25" s="2849"/>
      <c r="BH25" s="2847"/>
      <c r="BI25" s="2849"/>
      <c r="BJ25" s="2839"/>
    </row>
    <row r="26" spans="1:62" ht="38.25" customHeight="1" x14ac:dyDescent="0.2">
      <c r="A26" s="1311"/>
      <c r="B26" s="1312"/>
      <c r="C26" s="1313"/>
      <c r="D26" s="323">
        <v>27</v>
      </c>
      <c r="E26" s="324" t="s">
        <v>157</v>
      </c>
      <c r="F26" s="324"/>
      <c r="G26" s="128"/>
      <c r="H26" s="128"/>
      <c r="I26" s="128"/>
      <c r="J26" s="128"/>
      <c r="K26" s="325"/>
      <c r="L26" s="128"/>
      <c r="M26" s="128"/>
      <c r="N26" s="157"/>
      <c r="O26" s="128"/>
      <c r="P26" s="326"/>
      <c r="Q26" s="325"/>
      <c r="R26" s="327"/>
      <c r="S26" s="328"/>
      <c r="T26" s="325"/>
      <c r="U26" s="329"/>
      <c r="V26" s="329"/>
      <c r="W26" s="328"/>
      <c r="X26" s="330"/>
      <c r="Y26" s="330"/>
      <c r="Z26" s="331"/>
      <c r="AA26" s="128"/>
      <c r="AB26" s="128"/>
      <c r="AC26" s="157"/>
      <c r="AD26" s="128"/>
      <c r="AE26" s="157"/>
      <c r="AF26" s="128"/>
      <c r="AG26" s="157"/>
      <c r="AH26" s="128"/>
      <c r="AI26" s="157"/>
      <c r="AJ26" s="128"/>
      <c r="AK26" s="157"/>
      <c r="AL26" s="128"/>
      <c r="AM26" s="157"/>
      <c r="AN26" s="128"/>
      <c r="AO26" s="157"/>
      <c r="AP26" s="128"/>
      <c r="AQ26" s="157"/>
      <c r="AR26" s="128"/>
      <c r="AS26" s="157"/>
      <c r="AT26" s="128"/>
      <c r="AU26" s="157"/>
      <c r="AV26" s="128"/>
      <c r="AW26" s="157"/>
      <c r="AX26" s="128"/>
      <c r="AY26" s="157"/>
      <c r="AZ26" s="128"/>
      <c r="BA26" s="343"/>
      <c r="BB26" s="343"/>
      <c r="BC26" s="128"/>
      <c r="BD26" s="128"/>
      <c r="BE26" s="326"/>
      <c r="BF26" s="332"/>
      <c r="BG26" s="333"/>
      <c r="BH26" s="332"/>
      <c r="BI26" s="333"/>
      <c r="BJ26" s="1317"/>
    </row>
    <row r="27" spans="1:62" ht="32.25" customHeight="1" x14ac:dyDescent="0.2">
      <c r="A27" s="1314"/>
      <c r="B27" s="283"/>
      <c r="C27" s="335"/>
      <c r="D27" s="334"/>
      <c r="E27" s="283"/>
      <c r="F27" s="335"/>
      <c r="G27" s="336">
        <v>85</v>
      </c>
      <c r="H27" s="300" t="s">
        <v>158</v>
      </c>
      <c r="I27" s="300"/>
      <c r="J27" s="300"/>
      <c r="K27" s="301"/>
      <c r="L27" s="300"/>
      <c r="M27" s="300"/>
      <c r="N27" s="158"/>
      <c r="O27" s="300"/>
      <c r="P27" s="302"/>
      <c r="Q27" s="301"/>
      <c r="R27" s="303"/>
      <c r="S27" s="304"/>
      <c r="T27" s="301"/>
      <c r="U27" s="312"/>
      <c r="V27" s="312"/>
      <c r="W27" s="305"/>
      <c r="X27" s="313"/>
      <c r="Y27" s="313"/>
      <c r="Z27" s="314"/>
      <c r="AA27" s="315"/>
      <c r="AB27" s="300"/>
      <c r="AC27" s="158"/>
      <c r="AD27" s="300"/>
      <c r="AE27" s="158"/>
      <c r="AF27" s="300"/>
      <c r="AG27" s="158"/>
      <c r="AH27" s="300"/>
      <c r="AI27" s="158"/>
      <c r="AJ27" s="300"/>
      <c r="AK27" s="158"/>
      <c r="AL27" s="300"/>
      <c r="AM27" s="158"/>
      <c r="AN27" s="300"/>
      <c r="AO27" s="158"/>
      <c r="AP27" s="300"/>
      <c r="AQ27" s="158"/>
      <c r="AR27" s="300"/>
      <c r="AS27" s="158"/>
      <c r="AT27" s="300"/>
      <c r="AU27" s="158"/>
      <c r="AV27" s="300"/>
      <c r="AW27" s="158"/>
      <c r="AX27" s="300"/>
      <c r="AY27" s="158"/>
      <c r="AZ27" s="300"/>
      <c r="BA27" s="306"/>
      <c r="BB27" s="306"/>
      <c r="BC27" s="300"/>
      <c r="BD27" s="300"/>
      <c r="BE27" s="302"/>
      <c r="BF27" s="307"/>
      <c r="BG27" s="308"/>
      <c r="BH27" s="307"/>
      <c r="BI27" s="308"/>
      <c r="BJ27" s="1318"/>
    </row>
    <row r="28" spans="1:62" s="129" customFormat="1" ht="88.5" customHeight="1" x14ac:dyDescent="0.25">
      <c r="A28" s="1315"/>
      <c r="B28" s="337"/>
      <c r="C28" s="339"/>
      <c r="D28" s="338"/>
      <c r="E28" s="337"/>
      <c r="F28" s="339"/>
      <c r="G28" s="340"/>
      <c r="H28" s="337"/>
      <c r="I28" s="337"/>
      <c r="J28" s="2644">
        <v>249</v>
      </c>
      <c r="K28" s="2786" t="s">
        <v>159</v>
      </c>
      <c r="L28" s="2795" t="s">
        <v>146</v>
      </c>
      <c r="M28" s="2817">
        <v>1</v>
      </c>
      <c r="N28" s="2840">
        <v>1</v>
      </c>
      <c r="O28" s="2644" t="s">
        <v>160</v>
      </c>
      <c r="P28" s="2644">
        <v>7</v>
      </c>
      <c r="Q28" s="2786" t="s">
        <v>161</v>
      </c>
      <c r="R28" s="2843">
        <v>100</v>
      </c>
      <c r="S28" s="2830">
        <v>200000000</v>
      </c>
      <c r="T28" s="2786" t="s">
        <v>162</v>
      </c>
      <c r="U28" s="2146" t="s">
        <v>163</v>
      </c>
      <c r="V28" s="2146" t="s">
        <v>164</v>
      </c>
      <c r="W28" s="2162">
        <v>65014553</v>
      </c>
      <c r="X28" s="341">
        <v>42814590</v>
      </c>
      <c r="Y28" s="341">
        <v>42814590</v>
      </c>
      <c r="Z28" s="2168">
        <v>20</v>
      </c>
      <c r="AA28" s="2169" t="s">
        <v>165</v>
      </c>
      <c r="AB28" s="2817"/>
      <c r="AC28" s="2835"/>
      <c r="AD28" s="2817"/>
      <c r="AE28" s="2835"/>
      <c r="AF28" s="2817"/>
      <c r="AG28" s="2835"/>
      <c r="AH28" s="2795">
        <v>20</v>
      </c>
      <c r="AI28" s="2826">
        <v>20</v>
      </c>
      <c r="AJ28" s="2795">
        <v>150</v>
      </c>
      <c r="AK28" s="2826">
        <v>150</v>
      </c>
      <c r="AL28" s="2795">
        <v>10</v>
      </c>
      <c r="AM28" s="2826">
        <v>10</v>
      </c>
      <c r="AN28" s="2817"/>
      <c r="AO28" s="2835"/>
      <c r="AP28" s="2817"/>
      <c r="AQ28" s="2835"/>
      <c r="AR28" s="2817"/>
      <c r="AS28" s="2835"/>
      <c r="AT28" s="2817"/>
      <c r="AU28" s="2835"/>
      <c r="AV28" s="2817"/>
      <c r="AW28" s="2835"/>
      <c r="AX28" s="2817"/>
      <c r="AY28" s="2835"/>
      <c r="AZ28" s="2817">
        <v>6</v>
      </c>
      <c r="BA28" s="2858">
        <f>2014553+40800037+70000000+12924882+19990000+9000000</f>
        <v>154729472</v>
      </c>
      <c r="BB28" s="2858">
        <v>83739472</v>
      </c>
      <c r="BC28" s="2828">
        <f>BB28/BA28</f>
        <v>0.54119923578618556</v>
      </c>
      <c r="BD28" s="2809" t="s">
        <v>152</v>
      </c>
      <c r="BE28" s="2644" t="s">
        <v>166</v>
      </c>
      <c r="BF28" s="2846">
        <v>42485</v>
      </c>
      <c r="BG28" s="2848">
        <v>42485</v>
      </c>
      <c r="BH28" s="2846">
        <v>42735</v>
      </c>
      <c r="BI28" s="2848">
        <v>42735</v>
      </c>
      <c r="BJ28" s="2863" t="s">
        <v>133</v>
      </c>
    </row>
    <row r="29" spans="1:62" ht="86.25" customHeight="1" x14ac:dyDescent="0.2">
      <c r="A29" s="1314"/>
      <c r="B29" s="283"/>
      <c r="C29" s="335"/>
      <c r="D29" s="334"/>
      <c r="E29" s="283"/>
      <c r="F29" s="335"/>
      <c r="G29" s="283"/>
      <c r="H29" s="283"/>
      <c r="I29" s="283"/>
      <c r="J29" s="2645"/>
      <c r="K29" s="2787"/>
      <c r="L29" s="2796"/>
      <c r="M29" s="2818"/>
      <c r="N29" s="2841"/>
      <c r="O29" s="2645"/>
      <c r="P29" s="2645"/>
      <c r="Q29" s="2787"/>
      <c r="R29" s="2844"/>
      <c r="S29" s="2831"/>
      <c r="T29" s="2787"/>
      <c r="U29" s="2786" t="s">
        <v>167</v>
      </c>
      <c r="V29" s="2123" t="s">
        <v>168</v>
      </c>
      <c r="W29" s="320">
        <v>40785447</v>
      </c>
      <c r="X29" s="321">
        <v>28990000</v>
      </c>
      <c r="Y29" s="321"/>
      <c r="Z29" s="2168">
        <v>20</v>
      </c>
      <c r="AA29" s="2169" t="s">
        <v>165</v>
      </c>
      <c r="AB29" s="2818"/>
      <c r="AC29" s="2836"/>
      <c r="AD29" s="2818"/>
      <c r="AE29" s="2836"/>
      <c r="AF29" s="2818"/>
      <c r="AG29" s="2836"/>
      <c r="AH29" s="2796"/>
      <c r="AI29" s="2827"/>
      <c r="AJ29" s="2796"/>
      <c r="AK29" s="2827"/>
      <c r="AL29" s="2796"/>
      <c r="AM29" s="2827"/>
      <c r="AN29" s="2818"/>
      <c r="AO29" s="2836"/>
      <c r="AP29" s="2818"/>
      <c r="AQ29" s="2836"/>
      <c r="AR29" s="2818"/>
      <c r="AS29" s="2836"/>
      <c r="AT29" s="2818"/>
      <c r="AU29" s="2836"/>
      <c r="AV29" s="2818"/>
      <c r="AW29" s="2836"/>
      <c r="AX29" s="2818"/>
      <c r="AY29" s="2836"/>
      <c r="AZ29" s="2818"/>
      <c r="BA29" s="2859"/>
      <c r="BB29" s="2859"/>
      <c r="BC29" s="2829"/>
      <c r="BD29" s="2810"/>
      <c r="BE29" s="2645"/>
      <c r="BF29" s="2847"/>
      <c r="BG29" s="2849"/>
      <c r="BH29" s="2847"/>
      <c r="BI29" s="2849"/>
      <c r="BJ29" s="2864"/>
    </row>
    <row r="30" spans="1:62" ht="37.5" customHeight="1" x14ac:dyDescent="0.2">
      <c r="A30" s="1314"/>
      <c r="B30" s="283"/>
      <c r="C30" s="335"/>
      <c r="D30" s="334"/>
      <c r="E30" s="283"/>
      <c r="F30" s="335"/>
      <c r="G30" s="283"/>
      <c r="H30" s="283"/>
      <c r="I30" s="283"/>
      <c r="J30" s="2645"/>
      <c r="K30" s="2787"/>
      <c r="L30" s="2796"/>
      <c r="M30" s="2818"/>
      <c r="N30" s="2841"/>
      <c r="O30" s="2645"/>
      <c r="P30" s="2645"/>
      <c r="Q30" s="2787"/>
      <c r="R30" s="2844"/>
      <c r="S30" s="2831"/>
      <c r="T30" s="2787"/>
      <c r="U30" s="2788"/>
      <c r="V30" s="2123" t="s">
        <v>169</v>
      </c>
      <c r="W30" s="320">
        <v>24200000</v>
      </c>
      <c r="X30" s="321">
        <v>12924882</v>
      </c>
      <c r="Y30" s="321">
        <v>12924882</v>
      </c>
      <c r="Z30" s="2168">
        <v>20</v>
      </c>
      <c r="AA30" s="2169" t="s">
        <v>165</v>
      </c>
      <c r="AB30" s="2818"/>
      <c r="AC30" s="2836"/>
      <c r="AD30" s="2818"/>
      <c r="AE30" s="2836"/>
      <c r="AF30" s="2818"/>
      <c r="AG30" s="2836"/>
      <c r="AH30" s="2796"/>
      <c r="AI30" s="2827"/>
      <c r="AJ30" s="2796"/>
      <c r="AK30" s="2827"/>
      <c r="AL30" s="2796"/>
      <c r="AM30" s="2827"/>
      <c r="AN30" s="2818"/>
      <c r="AO30" s="2836"/>
      <c r="AP30" s="2818"/>
      <c r="AQ30" s="2836"/>
      <c r="AR30" s="2818"/>
      <c r="AS30" s="2836"/>
      <c r="AT30" s="2818"/>
      <c r="AU30" s="2836"/>
      <c r="AV30" s="2818"/>
      <c r="AW30" s="2836"/>
      <c r="AX30" s="2818"/>
      <c r="AY30" s="2836"/>
      <c r="AZ30" s="2818"/>
      <c r="BA30" s="2859"/>
      <c r="BB30" s="2859"/>
      <c r="BC30" s="2829"/>
      <c r="BD30" s="2810"/>
      <c r="BE30" s="2645"/>
      <c r="BF30" s="2847"/>
      <c r="BG30" s="2849"/>
      <c r="BH30" s="2847"/>
      <c r="BI30" s="2849"/>
      <c r="BJ30" s="2864"/>
    </row>
    <row r="31" spans="1:62" ht="108.75" customHeight="1" x14ac:dyDescent="0.2">
      <c r="A31" s="1314"/>
      <c r="B31" s="283"/>
      <c r="C31" s="335"/>
      <c r="D31" s="1319"/>
      <c r="E31" s="263"/>
      <c r="F31" s="342"/>
      <c r="G31" s="263"/>
      <c r="H31" s="263"/>
      <c r="I31" s="263"/>
      <c r="J31" s="2646"/>
      <c r="K31" s="2788"/>
      <c r="L31" s="2797"/>
      <c r="M31" s="2834"/>
      <c r="N31" s="2842"/>
      <c r="O31" s="2646"/>
      <c r="P31" s="2646"/>
      <c r="Q31" s="2788"/>
      <c r="R31" s="2845"/>
      <c r="S31" s="2850"/>
      <c r="T31" s="2788"/>
      <c r="U31" s="2123" t="s">
        <v>170</v>
      </c>
      <c r="V31" s="2123" t="s">
        <v>171</v>
      </c>
      <c r="W31" s="320">
        <v>70000000</v>
      </c>
      <c r="X31" s="321">
        <v>70000000</v>
      </c>
      <c r="Y31" s="321">
        <v>28000000</v>
      </c>
      <c r="Z31" s="2168">
        <v>20</v>
      </c>
      <c r="AA31" s="2169" t="s">
        <v>165</v>
      </c>
      <c r="AB31" s="2834"/>
      <c r="AC31" s="2837"/>
      <c r="AD31" s="2834"/>
      <c r="AE31" s="2837"/>
      <c r="AF31" s="2834"/>
      <c r="AG31" s="2837"/>
      <c r="AH31" s="2797"/>
      <c r="AI31" s="2862"/>
      <c r="AJ31" s="2797"/>
      <c r="AK31" s="2862"/>
      <c r="AL31" s="2797"/>
      <c r="AM31" s="2862"/>
      <c r="AN31" s="2834"/>
      <c r="AO31" s="2837"/>
      <c r="AP31" s="2834"/>
      <c r="AQ31" s="2837"/>
      <c r="AR31" s="2834"/>
      <c r="AS31" s="2837"/>
      <c r="AT31" s="2834"/>
      <c r="AU31" s="2837"/>
      <c r="AV31" s="2834"/>
      <c r="AW31" s="2837"/>
      <c r="AX31" s="2834"/>
      <c r="AY31" s="2837"/>
      <c r="AZ31" s="2834"/>
      <c r="BA31" s="2860"/>
      <c r="BB31" s="2860"/>
      <c r="BC31" s="2861"/>
      <c r="BD31" s="2811"/>
      <c r="BE31" s="2646"/>
      <c r="BF31" s="2866"/>
      <c r="BG31" s="2867"/>
      <c r="BH31" s="2866"/>
      <c r="BI31" s="2867"/>
      <c r="BJ31" s="2865"/>
    </row>
    <row r="32" spans="1:62" ht="36.75" customHeight="1" x14ac:dyDescent="0.2">
      <c r="A32" s="1311"/>
      <c r="B32" s="1312"/>
      <c r="C32" s="1313"/>
      <c r="D32" s="1323">
        <v>28</v>
      </c>
      <c r="E32" s="1323"/>
      <c r="F32" s="324" t="s">
        <v>56</v>
      </c>
      <c r="G32" s="128"/>
      <c r="H32" s="128"/>
      <c r="I32" s="128"/>
      <c r="J32" s="128"/>
      <c r="K32" s="325"/>
      <c r="L32" s="128"/>
      <c r="M32" s="128"/>
      <c r="N32" s="157"/>
      <c r="O32" s="128"/>
      <c r="P32" s="326"/>
      <c r="Q32" s="325"/>
      <c r="R32" s="327"/>
      <c r="S32" s="328"/>
      <c r="T32" s="325"/>
      <c r="U32" s="329"/>
      <c r="V32" s="329"/>
      <c r="W32" s="328"/>
      <c r="X32" s="330"/>
      <c r="Y32" s="330"/>
      <c r="Z32" s="331"/>
      <c r="AA32" s="128"/>
      <c r="AB32" s="128"/>
      <c r="AC32" s="157"/>
      <c r="AD32" s="128"/>
      <c r="AE32" s="157"/>
      <c r="AF32" s="128"/>
      <c r="AG32" s="157"/>
      <c r="AH32" s="128"/>
      <c r="AI32" s="157"/>
      <c r="AJ32" s="128"/>
      <c r="AK32" s="157"/>
      <c r="AL32" s="128"/>
      <c r="AM32" s="157"/>
      <c r="AN32" s="128"/>
      <c r="AO32" s="157"/>
      <c r="AP32" s="128"/>
      <c r="AQ32" s="157"/>
      <c r="AR32" s="128"/>
      <c r="AS32" s="157"/>
      <c r="AT32" s="128"/>
      <c r="AU32" s="157"/>
      <c r="AV32" s="128"/>
      <c r="AW32" s="157"/>
      <c r="AX32" s="128"/>
      <c r="AY32" s="157"/>
      <c r="AZ32" s="128"/>
      <c r="BA32" s="343"/>
      <c r="BB32" s="343"/>
      <c r="BC32" s="128"/>
      <c r="BD32" s="128"/>
      <c r="BE32" s="326"/>
      <c r="BF32" s="332"/>
      <c r="BG32" s="333"/>
      <c r="BH32" s="332"/>
      <c r="BI32" s="333"/>
      <c r="BJ32" s="1317"/>
    </row>
    <row r="33" spans="1:62" ht="39" customHeight="1" x14ac:dyDescent="0.2">
      <c r="A33" s="1314"/>
      <c r="B33" s="283"/>
      <c r="C33" s="283"/>
      <c r="D33" s="1324"/>
      <c r="E33" s="1312"/>
      <c r="F33" s="1313"/>
      <c r="G33" s="1329">
        <v>87</v>
      </c>
      <c r="H33" s="1330" t="s">
        <v>172</v>
      </c>
      <c r="I33" s="1330"/>
      <c r="J33" s="344"/>
      <c r="K33" s="345"/>
      <c r="L33" s="344"/>
      <c r="M33" s="344"/>
      <c r="N33" s="346"/>
      <c r="O33" s="344"/>
      <c r="P33" s="315"/>
      <c r="Q33" s="345"/>
      <c r="R33" s="347"/>
      <c r="S33" s="348"/>
      <c r="T33" s="345"/>
      <c r="U33" s="349"/>
      <c r="V33" s="349"/>
      <c r="W33" s="348"/>
      <c r="X33" s="350"/>
      <c r="Y33" s="350"/>
      <c r="Z33" s="351"/>
      <c r="AA33" s="344"/>
      <c r="AB33" s="344"/>
      <c r="AC33" s="346"/>
      <c r="AD33" s="344"/>
      <c r="AE33" s="346"/>
      <c r="AF33" s="344"/>
      <c r="AG33" s="346"/>
      <c r="AH33" s="344"/>
      <c r="AI33" s="346"/>
      <c r="AJ33" s="344"/>
      <c r="AK33" s="346"/>
      <c r="AL33" s="344"/>
      <c r="AM33" s="346"/>
      <c r="AN33" s="344"/>
      <c r="AO33" s="346"/>
      <c r="AP33" s="344"/>
      <c r="AQ33" s="346"/>
      <c r="AR33" s="344"/>
      <c r="AS33" s="346"/>
      <c r="AT33" s="344"/>
      <c r="AU33" s="346"/>
      <c r="AV33" s="344"/>
      <c r="AW33" s="346"/>
      <c r="AX33" s="344"/>
      <c r="AY33" s="346"/>
      <c r="AZ33" s="344"/>
      <c r="BA33" s="352"/>
      <c r="BB33" s="352"/>
      <c r="BC33" s="344"/>
      <c r="BD33" s="344"/>
      <c r="BE33" s="315"/>
      <c r="BF33" s="353"/>
      <c r="BG33" s="354"/>
      <c r="BH33" s="353"/>
      <c r="BI33" s="354"/>
      <c r="BJ33" s="1320"/>
    </row>
    <row r="34" spans="1:62" ht="91.5" customHeight="1" x14ac:dyDescent="0.2">
      <c r="A34" s="1314"/>
      <c r="B34" s="283"/>
      <c r="C34" s="283"/>
      <c r="D34" s="334"/>
      <c r="E34" s="283"/>
      <c r="F34" s="283"/>
      <c r="G34" s="1324"/>
      <c r="H34" s="1312"/>
      <c r="I34" s="1313"/>
      <c r="J34" s="2851">
        <v>256</v>
      </c>
      <c r="K34" s="2786" t="s">
        <v>173</v>
      </c>
      <c r="L34" s="2852" t="s">
        <v>146</v>
      </c>
      <c r="M34" s="2817">
        <v>1</v>
      </c>
      <c r="N34" s="2855">
        <v>1</v>
      </c>
      <c r="O34" s="2644" t="s">
        <v>174</v>
      </c>
      <c r="P34" s="2644">
        <v>8</v>
      </c>
      <c r="Q34" s="2786" t="s">
        <v>175</v>
      </c>
      <c r="R34" s="2843">
        <v>100</v>
      </c>
      <c r="S34" s="2830">
        <v>196550000</v>
      </c>
      <c r="T34" s="2786" t="s">
        <v>176</v>
      </c>
      <c r="U34" s="2786" t="s">
        <v>177</v>
      </c>
      <c r="V34" s="2146" t="s">
        <v>178</v>
      </c>
      <c r="W34" s="2162">
        <v>40400000</v>
      </c>
      <c r="X34" s="341">
        <v>40400000</v>
      </c>
      <c r="Y34" s="321">
        <v>40400000</v>
      </c>
      <c r="Z34" s="2824">
        <v>20</v>
      </c>
      <c r="AA34" s="2644" t="s">
        <v>130</v>
      </c>
      <c r="AB34" s="2795">
        <v>64149</v>
      </c>
      <c r="AC34" s="2826">
        <f>AB34</f>
        <v>64149</v>
      </c>
      <c r="AD34" s="2795">
        <v>72224</v>
      </c>
      <c r="AE34" s="2826">
        <f>AC34</f>
        <v>64149</v>
      </c>
      <c r="AF34" s="2795">
        <v>27477</v>
      </c>
      <c r="AG34" s="2826">
        <f>AF34</f>
        <v>27477</v>
      </c>
      <c r="AH34" s="2795">
        <v>86843</v>
      </c>
      <c r="AI34" s="2826">
        <f>AH34</f>
        <v>86843</v>
      </c>
      <c r="AJ34" s="2795">
        <v>236429</v>
      </c>
      <c r="AK34" s="2826">
        <f>AJ34</f>
        <v>236429</v>
      </c>
      <c r="AL34" s="2795">
        <v>81384</v>
      </c>
      <c r="AM34" s="2826">
        <f>AL34</f>
        <v>81384</v>
      </c>
      <c r="AN34" s="2795">
        <v>12718</v>
      </c>
      <c r="AO34" s="2826">
        <f>AN34</f>
        <v>12718</v>
      </c>
      <c r="AP34" s="2795">
        <v>2145</v>
      </c>
      <c r="AQ34" s="2826">
        <f>AP34</f>
        <v>2145</v>
      </c>
      <c r="AR34" s="2795">
        <v>413</v>
      </c>
      <c r="AS34" s="2826">
        <f>AR34</f>
        <v>413</v>
      </c>
      <c r="AT34" s="2795">
        <v>78</v>
      </c>
      <c r="AU34" s="2826">
        <f>AT34</f>
        <v>78</v>
      </c>
      <c r="AV34" s="2795">
        <v>16897</v>
      </c>
      <c r="AW34" s="2826">
        <f>AV34</f>
        <v>16897</v>
      </c>
      <c r="AX34" s="2795">
        <v>81384</v>
      </c>
      <c r="AY34" s="2826">
        <f>AX34</f>
        <v>81384</v>
      </c>
      <c r="AZ34" s="2795">
        <v>13</v>
      </c>
      <c r="BA34" s="2809">
        <v>184355800</v>
      </c>
      <c r="BB34" s="2809">
        <v>184355800</v>
      </c>
      <c r="BC34" s="2587">
        <f>BB34/BA34</f>
        <v>1</v>
      </c>
      <c r="BD34" s="2795" t="s">
        <v>131</v>
      </c>
      <c r="BE34" s="2795" t="s">
        <v>179</v>
      </c>
      <c r="BF34" s="2846">
        <v>42426</v>
      </c>
      <c r="BG34" s="2848">
        <v>42426</v>
      </c>
      <c r="BH34" s="2846">
        <v>42714</v>
      </c>
      <c r="BI34" s="2848">
        <v>42734</v>
      </c>
      <c r="BJ34" s="2869" t="s">
        <v>133</v>
      </c>
    </row>
    <row r="35" spans="1:62" ht="98.25" customHeight="1" x14ac:dyDescent="0.2">
      <c r="A35" s="1314"/>
      <c r="B35" s="283"/>
      <c r="C35" s="283"/>
      <c r="D35" s="334"/>
      <c r="E35" s="283"/>
      <c r="F35" s="283"/>
      <c r="G35" s="334"/>
      <c r="H35" s="283"/>
      <c r="I35" s="335"/>
      <c r="J35" s="2851"/>
      <c r="K35" s="2787"/>
      <c r="L35" s="2853"/>
      <c r="M35" s="2818"/>
      <c r="N35" s="2856"/>
      <c r="O35" s="2645"/>
      <c r="P35" s="2645"/>
      <c r="Q35" s="2787"/>
      <c r="R35" s="2844"/>
      <c r="S35" s="2831"/>
      <c r="T35" s="2787"/>
      <c r="U35" s="2787"/>
      <c r="V35" s="2146" t="s">
        <v>180</v>
      </c>
      <c r="W35" s="320">
        <v>2500000</v>
      </c>
      <c r="X35" s="321">
        <v>2500000</v>
      </c>
      <c r="Y35" s="321">
        <v>2500000</v>
      </c>
      <c r="Z35" s="2825"/>
      <c r="AA35" s="2645"/>
      <c r="AB35" s="2796"/>
      <c r="AC35" s="2827"/>
      <c r="AD35" s="2796"/>
      <c r="AE35" s="2827"/>
      <c r="AF35" s="2796"/>
      <c r="AG35" s="2827"/>
      <c r="AH35" s="2796"/>
      <c r="AI35" s="2827"/>
      <c r="AJ35" s="2796"/>
      <c r="AK35" s="2827"/>
      <c r="AL35" s="2796"/>
      <c r="AM35" s="2827"/>
      <c r="AN35" s="2796"/>
      <c r="AO35" s="2827"/>
      <c r="AP35" s="2796"/>
      <c r="AQ35" s="2827"/>
      <c r="AR35" s="2796"/>
      <c r="AS35" s="2827"/>
      <c r="AT35" s="2796"/>
      <c r="AU35" s="2827"/>
      <c r="AV35" s="2796"/>
      <c r="AW35" s="2827"/>
      <c r="AX35" s="2796"/>
      <c r="AY35" s="2827"/>
      <c r="AZ35" s="2796"/>
      <c r="BA35" s="2810"/>
      <c r="BB35" s="2810"/>
      <c r="BC35" s="2588"/>
      <c r="BD35" s="2796"/>
      <c r="BE35" s="2796"/>
      <c r="BF35" s="2847"/>
      <c r="BG35" s="2849"/>
      <c r="BH35" s="2847"/>
      <c r="BI35" s="2849"/>
      <c r="BJ35" s="2864"/>
    </row>
    <row r="36" spans="1:62" ht="120" customHeight="1" x14ac:dyDescent="0.2">
      <c r="A36" s="1314"/>
      <c r="B36" s="283"/>
      <c r="C36" s="283"/>
      <c r="D36" s="334"/>
      <c r="E36" s="283"/>
      <c r="F36" s="283"/>
      <c r="G36" s="334"/>
      <c r="H36" s="283"/>
      <c r="I36" s="335"/>
      <c r="J36" s="2851"/>
      <c r="K36" s="2787"/>
      <c r="L36" s="2853"/>
      <c r="M36" s="2818"/>
      <c r="N36" s="2856"/>
      <c r="O36" s="2645"/>
      <c r="P36" s="2645"/>
      <c r="Q36" s="2787"/>
      <c r="R36" s="2844"/>
      <c r="S36" s="2831"/>
      <c r="T36" s="2787"/>
      <c r="U36" s="2787"/>
      <c r="V36" s="2146" t="s">
        <v>181</v>
      </c>
      <c r="W36" s="320">
        <v>1000000</v>
      </c>
      <c r="X36" s="321">
        <v>1000000</v>
      </c>
      <c r="Y36" s="321">
        <v>1000000</v>
      </c>
      <c r="Z36" s="2825"/>
      <c r="AA36" s="2645"/>
      <c r="AB36" s="2796"/>
      <c r="AC36" s="2827"/>
      <c r="AD36" s="2796"/>
      <c r="AE36" s="2827"/>
      <c r="AF36" s="2796"/>
      <c r="AG36" s="2827"/>
      <c r="AH36" s="2796"/>
      <c r="AI36" s="2827"/>
      <c r="AJ36" s="2796"/>
      <c r="AK36" s="2827"/>
      <c r="AL36" s="2796"/>
      <c r="AM36" s="2827"/>
      <c r="AN36" s="2796"/>
      <c r="AO36" s="2827"/>
      <c r="AP36" s="2796"/>
      <c r="AQ36" s="2827"/>
      <c r="AR36" s="2796"/>
      <c r="AS36" s="2827"/>
      <c r="AT36" s="2796"/>
      <c r="AU36" s="2827"/>
      <c r="AV36" s="2796"/>
      <c r="AW36" s="2827"/>
      <c r="AX36" s="2796"/>
      <c r="AY36" s="2827"/>
      <c r="AZ36" s="2796"/>
      <c r="BA36" s="2810"/>
      <c r="BB36" s="2810"/>
      <c r="BC36" s="2588"/>
      <c r="BD36" s="2796"/>
      <c r="BE36" s="2796"/>
      <c r="BF36" s="2847"/>
      <c r="BG36" s="2849"/>
      <c r="BH36" s="2847"/>
      <c r="BI36" s="2849"/>
      <c r="BJ36" s="2864"/>
    </row>
    <row r="37" spans="1:62" ht="99.75" customHeight="1" x14ac:dyDescent="0.2">
      <c r="A37" s="1314"/>
      <c r="B37" s="283"/>
      <c r="C37" s="283"/>
      <c r="D37" s="334"/>
      <c r="E37" s="283"/>
      <c r="F37" s="283"/>
      <c r="G37" s="334"/>
      <c r="H37" s="283"/>
      <c r="I37" s="335"/>
      <c r="J37" s="2851"/>
      <c r="K37" s="2787"/>
      <c r="L37" s="2853"/>
      <c r="M37" s="2818"/>
      <c r="N37" s="2856"/>
      <c r="O37" s="2645"/>
      <c r="P37" s="2645"/>
      <c r="Q37" s="2787"/>
      <c r="R37" s="2844"/>
      <c r="S37" s="2831"/>
      <c r="T37" s="2787"/>
      <c r="U37" s="2787"/>
      <c r="V37" s="2146" t="s">
        <v>182</v>
      </c>
      <c r="W37" s="320">
        <v>23500000</v>
      </c>
      <c r="X37" s="321">
        <v>23500000</v>
      </c>
      <c r="Y37" s="321">
        <f>X37</f>
        <v>23500000</v>
      </c>
      <c r="Z37" s="2825"/>
      <c r="AA37" s="2645"/>
      <c r="AB37" s="2796"/>
      <c r="AC37" s="2827"/>
      <c r="AD37" s="2796"/>
      <c r="AE37" s="2827"/>
      <c r="AF37" s="2796"/>
      <c r="AG37" s="2827"/>
      <c r="AH37" s="2796"/>
      <c r="AI37" s="2827"/>
      <c r="AJ37" s="2796"/>
      <c r="AK37" s="2827"/>
      <c r="AL37" s="2796"/>
      <c r="AM37" s="2827"/>
      <c r="AN37" s="2796"/>
      <c r="AO37" s="2827"/>
      <c r="AP37" s="2796"/>
      <c r="AQ37" s="2827"/>
      <c r="AR37" s="2796"/>
      <c r="AS37" s="2827"/>
      <c r="AT37" s="2796"/>
      <c r="AU37" s="2827"/>
      <c r="AV37" s="2796"/>
      <c r="AW37" s="2827"/>
      <c r="AX37" s="2796"/>
      <c r="AY37" s="2827"/>
      <c r="AZ37" s="2796"/>
      <c r="BA37" s="2810"/>
      <c r="BB37" s="2810"/>
      <c r="BC37" s="2588"/>
      <c r="BD37" s="2796"/>
      <c r="BE37" s="2796"/>
      <c r="BF37" s="2847"/>
      <c r="BG37" s="2849"/>
      <c r="BH37" s="2847"/>
      <c r="BI37" s="2849"/>
      <c r="BJ37" s="2864"/>
    </row>
    <row r="38" spans="1:62" ht="99.75" customHeight="1" x14ac:dyDescent="0.2">
      <c r="A38" s="1314"/>
      <c r="B38" s="283"/>
      <c r="C38" s="283"/>
      <c r="D38" s="334"/>
      <c r="E38" s="283"/>
      <c r="F38" s="283"/>
      <c r="G38" s="334"/>
      <c r="H38" s="283"/>
      <c r="I38" s="335"/>
      <c r="J38" s="2851"/>
      <c r="K38" s="2787"/>
      <c r="L38" s="2853"/>
      <c r="M38" s="2818"/>
      <c r="N38" s="2856"/>
      <c r="O38" s="2645"/>
      <c r="P38" s="2645"/>
      <c r="Q38" s="2787"/>
      <c r="R38" s="2844"/>
      <c r="S38" s="2831"/>
      <c r="T38" s="2787"/>
      <c r="U38" s="2787"/>
      <c r="V38" s="2146" t="s">
        <v>183</v>
      </c>
      <c r="W38" s="320">
        <v>14000000</v>
      </c>
      <c r="X38" s="321">
        <v>14000000</v>
      </c>
      <c r="Y38" s="321">
        <f>X38</f>
        <v>14000000</v>
      </c>
      <c r="Z38" s="2825"/>
      <c r="AA38" s="2645"/>
      <c r="AB38" s="2796"/>
      <c r="AC38" s="2827"/>
      <c r="AD38" s="2796"/>
      <c r="AE38" s="2827"/>
      <c r="AF38" s="2796"/>
      <c r="AG38" s="2827"/>
      <c r="AH38" s="2796"/>
      <c r="AI38" s="2827"/>
      <c r="AJ38" s="2796"/>
      <c r="AK38" s="2827"/>
      <c r="AL38" s="2796"/>
      <c r="AM38" s="2827"/>
      <c r="AN38" s="2796"/>
      <c r="AO38" s="2827"/>
      <c r="AP38" s="2796"/>
      <c r="AQ38" s="2827"/>
      <c r="AR38" s="2796"/>
      <c r="AS38" s="2827"/>
      <c r="AT38" s="2796"/>
      <c r="AU38" s="2827"/>
      <c r="AV38" s="2796"/>
      <c r="AW38" s="2827"/>
      <c r="AX38" s="2796"/>
      <c r="AY38" s="2827"/>
      <c r="AZ38" s="2796"/>
      <c r="BA38" s="2810"/>
      <c r="BB38" s="2810"/>
      <c r="BC38" s="2588"/>
      <c r="BD38" s="2796"/>
      <c r="BE38" s="2796"/>
      <c r="BF38" s="2847"/>
      <c r="BG38" s="2849"/>
      <c r="BH38" s="2847"/>
      <c r="BI38" s="2849"/>
      <c r="BJ38" s="2864"/>
    </row>
    <row r="39" spans="1:62" ht="59.25" customHeight="1" x14ac:dyDescent="0.2">
      <c r="A39" s="1314"/>
      <c r="B39" s="283"/>
      <c r="C39" s="283"/>
      <c r="D39" s="334"/>
      <c r="E39" s="283"/>
      <c r="F39" s="283"/>
      <c r="G39" s="334"/>
      <c r="H39" s="283"/>
      <c r="I39" s="335"/>
      <c r="J39" s="2851"/>
      <c r="K39" s="2787"/>
      <c r="L39" s="2853"/>
      <c r="M39" s="2818"/>
      <c r="N39" s="2856"/>
      <c r="O39" s="2645"/>
      <c r="P39" s="2645"/>
      <c r="Q39" s="2787"/>
      <c r="R39" s="2844"/>
      <c r="S39" s="2831"/>
      <c r="T39" s="2787"/>
      <c r="U39" s="2786" t="s">
        <v>184</v>
      </c>
      <c r="V39" s="2146" t="s">
        <v>185</v>
      </c>
      <c r="W39" s="320">
        <v>77600000</v>
      </c>
      <c r="X39" s="321">
        <v>77600000</v>
      </c>
      <c r="Y39" s="321">
        <f>X39</f>
        <v>77600000</v>
      </c>
      <c r="Z39" s="2825"/>
      <c r="AA39" s="2645"/>
      <c r="AB39" s="2796"/>
      <c r="AC39" s="2827"/>
      <c r="AD39" s="2796"/>
      <c r="AE39" s="2827"/>
      <c r="AF39" s="2796"/>
      <c r="AG39" s="2827"/>
      <c r="AH39" s="2796"/>
      <c r="AI39" s="2827"/>
      <c r="AJ39" s="2796"/>
      <c r="AK39" s="2827"/>
      <c r="AL39" s="2796"/>
      <c r="AM39" s="2827"/>
      <c r="AN39" s="2796"/>
      <c r="AO39" s="2827"/>
      <c r="AP39" s="2796"/>
      <c r="AQ39" s="2827"/>
      <c r="AR39" s="2796"/>
      <c r="AS39" s="2827"/>
      <c r="AT39" s="2796"/>
      <c r="AU39" s="2827"/>
      <c r="AV39" s="2796"/>
      <c r="AW39" s="2827"/>
      <c r="AX39" s="2796"/>
      <c r="AY39" s="2827"/>
      <c r="AZ39" s="2796"/>
      <c r="BA39" s="2810"/>
      <c r="BB39" s="2810"/>
      <c r="BC39" s="2588"/>
      <c r="BD39" s="2796"/>
      <c r="BE39" s="2796"/>
      <c r="BF39" s="2847"/>
      <c r="BG39" s="2849"/>
      <c r="BH39" s="2847"/>
      <c r="BI39" s="2849"/>
      <c r="BJ39" s="2864"/>
    </row>
    <row r="40" spans="1:62" ht="62.25" customHeight="1" x14ac:dyDescent="0.2">
      <c r="A40" s="1314"/>
      <c r="B40" s="283"/>
      <c r="C40" s="283"/>
      <c r="D40" s="334"/>
      <c r="E40" s="283"/>
      <c r="F40" s="283"/>
      <c r="G40" s="334"/>
      <c r="H40" s="283"/>
      <c r="I40" s="335"/>
      <c r="J40" s="2851"/>
      <c r="K40" s="2787"/>
      <c r="L40" s="2853"/>
      <c r="M40" s="2818"/>
      <c r="N40" s="2856"/>
      <c r="O40" s="2645"/>
      <c r="P40" s="2645"/>
      <c r="Q40" s="2787"/>
      <c r="R40" s="2844"/>
      <c r="S40" s="2831"/>
      <c r="T40" s="2787"/>
      <c r="U40" s="2787"/>
      <c r="V40" s="2146" t="s">
        <v>186</v>
      </c>
      <c r="W40" s="2455">
        <v>7373200</v>
      </c>
      <c r="X40" s="321">
        <v>3625000</v>
      </c>
      <c r="Y40" s="321">
        <v>3625000</v>
      </c>
      <c r="Z40" s="2825"/>
      <c r="AA40" s="2645"/>
      <c r="AB40" s="2796"/>
      <c r="AC40" s="2827"/>
      <c r="AD40" s="2796"/>
      <c r="AE40" s="2827"/>
      <c r="AF40" s="2796"/>
      <c r="AG40" s="2827"/>
      <c r="AH40" s="2796"/>
      <c r="AI40" s="2827"/>
      <c r="AJ40" s="2796"/>
      <c r="AK40" s="2827"/>
      <c r="AL40" s="2796"/>
      <c r="AM40" s="2827"/>
      <c r="AN40" s="2796"/>
      <c r="AO40" s="2827"/>
      <c r="AP40" s="2796"/>
      <c r="AQ40" s="2827"/>
      <c r="AR40" s="2796"/>
      <c r="AS40" s="2827"/>
      <c r="AT40" s="2796"/>
      <c r="AU40" s="2827"/>
      <c r="AV40" s="2796"/>
      <c r="AW40" s="2827"/>
      <c r="AX40" s="2796"/>
      <c r="AY40" s="2827"/>
      <c r="AZ40" s="2796"/>
      <c r="BA40" s="2810"/>
      <c r="BB40" s="2810"/>
      <c r="BC40" s="2588"/>
      <c r="BD40" s="2796"/>
      <c r="BE40" s="2796"/>
      <c r="BF40" s="2847"/>
      <c r="BG40" s="2849"/>
      <c r="BH40" s="2847"/>
      <c r="BI40" s="2849"/>
      <c r="BJ40" s="2864"/>
    </row>
    <row r="41" spans="1:62" ht="44.25" customHeight="1" x14ac:dyDescent="0.2">
      <c r="A41" s="1314"/>
      <c r="B41" s="283"/>
      <c r="C41" s="283"/>
      <c r="D41" s="334"/>
      <c r="E41" s="283"/>
      <c r="F41" s="283"/>
      <c r="G41" s="334"/>
      <c r="H41" s="283"/>
      <c r="I41" s="335"/>
      <c r="J41" s="2851"/>
      <c r="K41" s="2787"/>
      <c r="L41" s="2853"/>
      <c r="M41" s="2818"/>
      <c r="N41" s="2856"/>
      <c r="O41" s="2645"/>
      <c r="P41" s="2645"/>
      <c r="Q41" s="2787"/>
      <c r="R41" s="2844"/>
      <c r="S41" s="2831"/>
      <c r="T41" s="2787"/>
      <c r="U41" s="2787"/>
      <c r="V41" s="2146" t="s">
        <v>187</v>
      </c>
      <c r="W41" s="2455">
        <v>19445000</v>
      </c>
      <c r="X41" s="321">
        <f>1999000+13500000</f>
        <v>15499000</v>
      </c>
      <c r="Y41" s="321">
        <f>X41</f>
        <v>15499000</v>
      </c>
      <c r="Z41" s="2825"/>
      <c r="AA41" s="2645"/>
      <c r="AB41" s="2796"/>
      <c r="AC41" s="2827"/>
      <c r="AD41" s="2796"/>
      <c r="AE41" s="2827"/>
      <c r="AF41" s="2796"/>
      <c r="AG41" s="2827"/>
      <c r="AH41" s="2796"/>
      <c r="AI41" s="2827"/>
      <c r="AJ41" s="2796"/>
      <c r="AK41" s="2827"/>
      <c r="AL41" s="2796"/>
      <c r="AM41" s="2827"/>
      <c r="AN41" s="2796"/>
      <c r="AO41" s="2827"/>
      <c r="AP41" s="2796"/>
      <c r="AQ41" s="2827"/>
      <c r="AR41" s="2796"/>
      <c r="AS41" s="2827"/>
      <c r="AT41" s="2796"/>
      <c r="AU41" s="2827"/>
      <c r="AV41" s="2796"/>
      <c r="AW41" s="2827"/>
      <c r="AX41" s="2796"/>
      <c r="AY41" s="2827"/>
      <c r="AZ41" s="2796"/>
      <c r="BA41" s="2810"/>
      <c r="BB41" s="2810"/>
      <c r="BC41" s="2588"/>
      <c r="BD41" s="2796"/>
      <c r="BE41" s="2796"/>
      <c r="BF41" s="2847"/>
      <c r="BG41" s="2849"/>
      <c r="BH41" s="2847"/>
      <c r="BI41" s="2849"/>
      <c r="BJ41" s="2864"/>
    </row>
    <row r="42" spans="1:62" ht="45.75" customHeight="1" x14ac:dyDescent="0.2">
      <c r="A42" s="1314"/>
      <c r="B42" s="283"/>
      <c r="C42" s="283"/>
      <c r="D42" s="334"/>
      <c r="E42" s="283"/>
      <c r="F42" s="283"/>
      <c r="G42" s="334"/>
      <c r="H42" s="283"/>
      <c r="I42" s="335"/>
      <c r="J42" s="2851"/>
      <c r="K42" s="2787"/>
      <c r="L42" s="2853"/>
      <c r="M42" s="2818"/>
      <c r="N42" s="2856"/>
      <c r="O42" s="2645"/>
      <c r="P42" s="2645"/>
      <c r="Q42" s="2787"/>
      <c r="R42" s="2844"/>
      <c r="S42" s="2831"/>
      <c r="T42" s="2787"/>
      <c r="U42" s="2787"/>
      <c r="V42" s="2146" t="s">
        <v>188</v>
      </c>
      <c r="W42" s="2455">
        <v>4500000</v>
      </c>
      <c r="X42" s="321">
        <v>0</v>
      </c>
      <c r="Y42" s="321">
        <v>0</v>
      </c>
      <c r="Z42" s="2825"/>
      <c r="AA42" s="2645"/>
      <c r="AB42" s="2796"/>
      <c r="AC42" s="2827"/>
      <c r="AD42" s="2796"/>
      <c r="AE42" s="2827"/>
      <c r="AF42" s="2796"/>
      <c r="AG42" s="2827"/>
      <c r="AH42" s="2796"/>
      <c r="AI42" s="2827"/>
      <c r="AJ42" s="2796"/>
      <c r="AK42" s="2827"/>
      <c r="AL42" s="2796"/>
      <c r="AM42" s="2827"/>
      <c r="AN42" s="2796"/>
      <c r="AO42" s="2827"/>
      <c r="AP42" s="2796"/>
      <c r="AQ42" s="2827"/>
      <c r="AR42" s="2796"/>
      <c r="AS42" s="2827"/>
      <c r="AT42" s="2796"/>
      <c r="AU42" s="2827"/>
      <c r="AV42" s="2796"/>
      <c r="AW42" s="2827"/>
      <c r="AX42" s="2796"/>
      <c r="AY42" s="2827"/>
      <c r="AZ42" s="2796"/>
      <c r="BA42" s="2810"/>
      <c r="BB42" s="2810"/>
      <c r="BC42" s="2588"/>
      <c r="BD42" s="2796"/>
      <c r="BE42" s="2796"/>
      <c r="BF42" s="2847"/>
      <c r="BG42" s="2849"/>
      <c r="BH42" s="2847"/>
      <c r="BI42" s="2849"/>
      <c r="BJ42" s="2864"/>
    </row>
    <row r="43" spans="1:62" ht="56.25" customHeight="1" x14ac:dyDescent="0.2">
      <c r="A43" s="1314"/>
      <c r="B43" s="283"/>
      <c r="C43" s="283"/>
      <c r="D43" s="334"/>
      <c r="E43" s="283"/>
      <c r="F43" s="283"/>
      <c r="G43" s="334"/>
      <c r="H43" s="283"/>
      <c r="I43" s="335"/>
      <c r="J43" s="2851"/>
      <c r="K43" s="2788"/>
      <c r="L43" s="2854"/>
      <c r="M43" s="2834"/>
      <c r="N43" s="2857"/>
      <c r="O43" s="2646"/>
      <c r="P43" s="2646"/>
      <c r="Q43" s="2788"/>
      <c r="R43" s="2845"/>
      <c r="S43" s="2850"/>
      <c r="T43" s="2788"/>
      <c r="U43" s="2788"/>
      <c r="V43" s="2123" t="s">
        <v>189</v>
      </c>
      <c r="W43" s="320">
        <v>6231800</v>
      </c>
      <c r="X43" s="321">
        <v>6231800</v>
      </c>
      <c r="Y43" s="321">
        <v>6231800</v>
      </c>
      <c r="Z43" s="2868"/>
      <c r="AA43" s="2646"/>
      <c r="AB43" s="2797"/>
      <c r="AC43" s="2862"/>
      <c r="AD43" s="2797"/>
      <c r="AE43" s="2862"/>
      <c r="AF43" s="2797"/>
      <c r="AG43" s="2862"/>
      <c r="AH43" s="2797"/>
      <c r="AI43" s="2862"/>
      <c r="AJ43" s="2797"/>
      <c r="AK43" s="2862"/>
      <c r="AL43" s="2797"/>
      <c r="AM43" s="2862"/>
      <c r="AN43" s="2797"/>
      <c r="AO43" s="2862"/>
      <c r="AP43" s="2797"/>
      <c r="AQ43" s="2862"/>
      <c r="AR43" s="2797"/>
      <c r="AS43" s="2862"/>
      <c r="AT43" s="2797"/>
      <c r="AU43" s="2862"/>
      <c r="AV43" s="2797"/>
      <c r="AW43" s="2862"/>
      <c r="AX43" s="2797"/>
      <c r="AY43" s="2862"/>
      <c r="AZ43" s="2797"/>
      <c r="BA43" s="2811"/>
      <c r="BB43" s="2811"/>
      <c r="BC43" s="2589"/>
      <c r="BD43" s="2797"/>
      <c r="BE43" s="2797"/>
      <c r="BF43" s="2866"/>
      <c r="BG43" s="2867"/>
      <c r="BH43" s="2866"/>
      <c r="BI43" s="2867"/>
      <c r="BJ43" s="2865"/>
    </row>
    <row r="44" spans="1:62" s="130" customFormat="1" ht="57.75" customHeight="1" x14ac:dyDescent="0.2">
      <c r="A44" s="1321"/>
      <c r="B44" s="356"/>
      <c r="C44" s="356"/>
      <c r="D44" s="1325"/>
      <c r="E44" s="356"/>
      <c r="F44" s="356"/>
      <c r="G44" s="1325"/>
      <c r="H44" s="356"/>
      <c r="I44" s="1322"/>
      <c r="J44" s="2878">
        <v>257</v>
      </c>
      <c r="K44" s="2666" t="s">
        <v>190</v>
      </c>
      <c r="L44" s="2819" t="s">
        <v>146</v>
      </c>
      <c r="M44" s="2878">
        <v>1</v>
      </c>
      <c r="N44" s="2882">
        <v>1</v>
      </c>
      <c r="O44" s="2581" t="s">
        <v>191</v>
      </c>
      <c r="P44" s="2870">
        <v>9</v>
      </c>
      <c r="Q44" s="2871" t="s">
        <v>192</v>
      </c>
      <c r="R44" s="2872">
        <f>+S44/131800000*100</f>
        <v>27.086494688922606</v>
      </c>
      <c r="S44" s="2875">
        <v>35700000</v>
      </c>
      <c r="T44" s="2871" t="s">
        <v>193</v>
      </c>
      <c r="U44" s="2666" t="s">
        <v>194</v>
      </c>
      <c r="V44" s="2103" t="s">
        <v>195</v>
      </c>
      <c r="W44" s="2172">
        <v>17800000</v>
      </c>
      <c r="X44" s="1331">
        <f>12800000+5000000</f>
        <v>17800000</v>
      </c>
      <c r="Y44" s="357">
        <f>X44</f>
        <v>17800000</v>
      </c>
      <c r="Z44" s="2892">
        <v>20</v>
      </c>
      <c r="AA44" s="2878" t="s">
        <v>130</v>
      </c>
      <c r="AB44" s="2878">
        <v>64149</v>
      </c>
      <c r="AC44" s="2882">
        <f>AB44</f>
        <v>64149</v>
      </c>
      <c r="AD44" s="2878">
        <v>72224</v>
      </c>
      <c r="AE44" s="2882">
        <f>AD44</f>
        <v>72224</v>
      </c>
      <c r="AF44" s="2878">
        <v>27477</v>
      </c>
      <c r="AG44" s="2882">
        <f>AF44</f>
        <v>27477</v>
      </c>
      <c r="AH44" s="2878">
        <v>86843</v>
      </c>
      <c r="AI44" s="2882">
        <f>AH44</f>
        <v>86843</v>
      </c>
      <c r="AJ44" s="2878">
        <v>236429</v>
      </c>
      <c r="AK44" s="2882">
        <f>AJ44</f>
        <v>236429</v>
      </c>
      <c r="AL44" s="2878">
        <v>81384</v>
      </c>
      <c r="AM44" s="2882">
        <f>AL44</f>
        <v>81384</v>
      </c>
      <c r="AN44" s="2878">
        <v>12718</v>
      </c>
      <c r="AO44" s="2882">
        <f>AN44</f>
        <v>12718</v>
      </c>
      <c r="AP44" s="2878">
        <v>2145</v>
      </c>
      <c r="AQ44" s="2882">
        <f>AP44</f>
        <v>2145</v>
      </c>
      <c r="AR44" s="2878">
        <v>413</v>
      </c>
      <c r="AS44" s="2882">
        <f>AR44</f>
        <v>413</v>
      </c>
      <c r="AT44" s="2878">
        <v>78</v>
      </c>
      <c r="AU44" s="2882">
        <f>AT44</f>
        <v>78</v>
      </c>
      <c r="AV44" s="2878">
        <v>16897</v>
      </c>
      <c r="AW44" s="2882">
        <f>AV44</f>
        <v>16897</v>
      </c>
      <c r="AX44" s="2878">
        <v>81384</v>
      </c>
      <c r="AY44" s="2882">
        <f>AX44</f>
        <v>81384</v>
      </c>
      <c r="AZ44" s="2878">
        <v>7</v>
      </c>
      <c r="BA44" s="2717">
        <v>63200000</v>
      </c>
      <c r="BB44" s="2906">
        <v>63200000</v>
      </c>
      <c r="BC44" s="2669">
        <f>BB44/BA44</f>
        <v>1</v>
      </c>
      <c r="BD44" s="2878" t="s">
        <v>131</v>
      </c>
      <c r="BE44" s="2878" t="s">
        <v>166</v>
      </c>
      <c r="BF44" s="2900">
        <v>42597</v>
      </c>
      <c r="BG44" s="2903">
        <v>42608</v>
      </c>
      <c r="BH44" s="2900">
        <v>42735</v>
      </c>
      <c r="BI44" s="2903">
        <v>42732</v>
      </c>
      <c r="BJ44" s="2895" t="s">
        <v>133</v>
      </c>
    </row>
    <row r="45" spans="1:62" s="130" customFormat="1" ht="57" customHeight="1" x14ac:dyDescent="0.2">
      <c r="A45" s="1321"/>
      <c r="B45" s="356"/>
      <c r="C45" s="356"/>
      <c r="D45" s="1325"/>
      <c r="E45" s="356"/>
      <c r="F45" s="356"/>
      <c r="G45" s="1325"/>
      <c r="H45" s="356"/>
      <c r="I45" s="1322"/>
      <c r="J45" s="2879"/>
      <c r="K45" s="2667"/>
      <c r="L45" s="2820"/>
      <c r="M45" s="2879"/>
      <c r="N45" s="2883"/>
      <c r="O45" s="2582"/>
      <c r="P45" s="2870"/>
      <c r="Q45" s="2871"/>
      <c r="R45" s="2873"/>
      <c r="S45" s="2876"/>
      <c r="T45" s="2871"/>
      <c r="U45" s="2667"/>
      <c r="V45" s="2124" t="s">
        <v>196</v>
      </c>
      <c r="W45" s="2455">
        <v>10000000</v>
      </c>
      <c r="X45" s="357">
        <v>10000000</v>
      </c>
      <c r="Y45" s="357">
        <f>X45</f>
        <v>10000000</v>
      </c>
      <c r="Z45" s="2893"/>
      <c r="AA45" s="2879"/>
      <c r="AB45" s="2879"/>
      <c r="AC45" s="2883"/>
      <c r="AD45" s="2879"/>
      <c r="AE45" s="2883"/>
      <c r="AF45" s="2879"/>
      <c r="AG45" s="2883"/>
      <c r="AH45" s="2879"/>
      <c r="AI45" s="2883"/>
      <c r="AJ45" s="2879"/>
      <c r="AK45" s="2883"/>
      <c r="AL45" s="2879"/>
      <c r="AM45" s="2883"/>
      <c r="AN45" s="2879"/>
      <c r="AO45" s="2883"/>
      <c r="AP45" s="2879"/>
      <c r="AQ45" s="2883"/>
      <c r="AR45" s="2879"/>
      <c r="AS45" s="2883"/>
      <c r="AT45" s="2879"/>
      <c r="AU45" s="2883"/>
      <c r="AV45" s="2879"/>
      <c r="AW45" s="2883"/>
      <c r="AX45" s="2879"/>
      <c r="AY45" s="2883"/>
      <c r="AZ45" s="2879"/>
      <c r="BA45" s="2718"/>
      <c r="BB45" s="2907"/>
      <c r="BC45" s="2670"/>
      <c r="BD45" s="2879"/>
      <c r="BE45" s="2879"/>
      <c r="BF45" s="2901"/>
      <c r="BG45" s="2904"/>
      <c r="BH45" s="2901"/>
      <c r="BI45" s="2904"/>
      <c r="BJ45" s="2896"/>
    </row>
    <row r="46" spans="1:62" s="130" customFormat="1" ht="78" customHeight="1" x14ac:dyDescent="0.2">
      <c r="A46" s="1321"/>
      <c r="B46" s="356"/>
      <c r="C46" s="356"/>
      <c r="D46" s="1325"/>
      <c r="E46" s="356"/>
      <c r="F46" s="356"/>
      <c r="G46" s="1325"/>
      <c r="H46" s="356"/>
      <c r="I46" s="1326" t="s">
        <v>197</v>
      </c>
      <c r="J46" s="2880"/>
      <c r="K46" s="2668"/>
      <c r="L46" s="2881"/>
      <c r="M46" s="2880"/>
      <c r="N46" s="2884"/>
      <c r="O46" s="2582"/>
      <c r="P46" s="2870"/>
      <c r="Q46" s="2871"/>
      <c r="R46" s="2874"/>
      <c r="S46" s="2877"/>
      <c r="T46" s="2871"/>
      <c r="U46" s="2668"/>
      <c r="V46" s="2124" t="s">
        <v>198</v>
      </c>
      <c r="W46" s="2455">
        <v>7900000</v>
      </c>
      <c r="X46" s="357"/>
      <c r="Y46" s="357"/>
      <c r="Z46" s="2893"/>
      <c r="AA46" s="2879"/>
      <c r="AB46" s="2879"/>
      <c r="AC46" s="2883"/>
      <c r="AD46" s="2879"/>
      <c r="AE46" s="2883"/>
      <c r="AF46" s="2879"/>
      <c r="AG46" s="2883"/>
      <c r="AH46" s="2879"/>
      <c r="AI46" s="2883"/>
      <c r="AJ46" s="2879"/>
      <c r="AK46" s="2883"/>
      <c r="AL46" s="2879"/>
      <c r="AM46" s="2883"/>
      <c r="AN46" s="2879"/>
      <c r="AO46" s="2883"/>
      <c r="AP46" s="2879"/>
      <c r="AQ46" s="2883"/>
      <c r="AR46" s="2879"/>
      <c r="AS46" s="2883"/>
      <c r="AT46" s="2879"/>
      <c r="AU46" s="2883"/>
      <c r="AV46" s="2879"/>
      <c r="AW46" s="2883"/>
      <c r="AX46" s="2879"/>
      <c r="AY46" s="2883"/>
      <c r="AZ46" s="2879"/>
      <c r="BA46" s="2718"/>
      <c r="BB46" s="2907"/>
      <c r="BC46" s="2670"/>
      <c r="BD46" s="2879"/>
      <c r="BE46" s="2879"/>
      <c r="BF46" s="2901"/>
      <c r="BG46" s="2904"/>
      <c r="BH46" s="2901"/>
      <c r="BI46" s="2904"/>
      <c r="BJ46" s="2896"/>
    </row>
    <row r="47" spans="1:62" s="130" customFormat="1" ht="38.25" customHeight="1" x14ac:dyDescent="0.2">
      <c r="A47" s="1321"/>
      <c r="B47" s="356"/>
      <c r="C47" s="356"/>
      <c r="D47" s="1325"/>
      <c r="E47" s="356"/>
      <c r="F47" s="356"/>
      <c r="G47" s="1325"/>
      <c r="H47" s="356"/>
      <c r="I47" s="1322"/>
      <c r="J47" s="2889">
        <v>259</v>
      </c>
      <c r="K47" s="2677" t="s">
        <v>199</v>
      </c>
      <c r="L47" s="2870" t="s">
        <v>146</v>
      </c>
      <c r="M47" s="2885">
        <v>1</v>
      </c>
      <c r="N47" s="2898">
        <v>1</v>
      </c>
      <c r="O47" s="2582"/>
      <c r="P47" s="2870"/>
      <c r="Q47" s="2871"/>
      <c r="R47" s="2899">
        <f>+S47/131800000*100</f>
        <v>6.8285280728376323</v>
      </c>
      <c r="S47" s="2875">
        <v>9000000</v>
      </c>
      <c r="T47" s="2871"/>
      <c r="U47" s="2666" t="s">
        <v>200</v>
      </c>
      <c r="V47" s="2124" t="s">
        <v>201</v>
      </c>
      <c r="W47" s="2455">
        <v>4500000</v>
      </c>
      <c r="X47" s="357">
        <v>4500000</v>
      </c>
      <c r="Y47" s="357">
        <f>X47</f>
        <v>4500000</v>
      </c>
      <c r="Z47" s="2893"/>
      <c r="AA47" s="2879"/>
      <c r="AB47" s="2879"/>
      <c r="AC47" s="2883"/>
      <c r="AD47" s="2879"/>
      <c r="AE47" s="2883"/>
      <c r="AF47" s="2879"/>
      <c r="AG47" s="2883"/>
      <c r="AH47" s="2879"/>
      <c r="AI47" s="2883"/>
      <c r="AJ47" s="2879"/>
      <c r="AK47" s="2883"/>
      <c r="AL47" s="2879"/>
      <c r="AM47" s="2883"/>
      <c r="AN47" s="2879"/>
      <c r="AO47" s="2883"/>
      <c r="AP47" s="2879"/>
      <c r="AQ47" s="2883"/>
      <c r="AR47" s="2879"/>
      <c r="AS47" s="2883"/>
      <c r="AT47" s="2879"/>
      <c r="AU47" s="2883"/>
      <c r="AV47" s="2879"/>
      <c r="AW47" s="2883"/>
      <c r="AX47" s="2879"/>
      <c r="AY47" s="2883"/>
      <c r="AZ47" s="2879"/>
      <c r="BA47" s="2718"/>
      <c r="BB47" s="2907"/>
      <c r="BC47" s="2670"/>
      <c r="BD47" s="2879"/>
      <c r="BE47" s="2879"/>
      <c r="BF47" s="2901"/>
      <c r="BG47" s="2904"/>
      <c r="BH47" s="2901"/>
      <c r="BI47" s="2904"/>
      <c r="BJ47" s="2896"/>
    </row>
    <row r="48" spans="1:62" s="130" customFormat="1" ht="57" customHeight="1" x14ac:dyDescent="0.2">
      <c r="A48" s="1321"/>
      <c r="B48" s="356"/>
      <c r="C48" s="356"/>
      <c r="D48" s="1325"/>
      <c r="E48" s="356"/>
      <c r="F48" s="356"/>
      <c r="G48" s="1325"/>
      <c r="H48" s="356"/>
      <c r="I48" s="1322"/>
      <c r="J48" s="2889"/>
      <c r="K48" s="2677"/>
      <c r="L48" s="2870"/>
      <c r="M48" s="2885"/>
      <c r="N48" s="2891"/>
      <c r="O48" s="2582"/>
      <c r="P48" s="2870"/>
      <c r="Q48" s="2871"/>
      <c r="R48" s="2899"/>
      <c r="S48" s="2877"/>
      <c r="T48" s="2871"/>
      <c r="U48" s="2668"/>
      <c r="V48" s="2124" t="s">
        <v>202</v>
      </c>
      <c r="W48" s="2455">
        <v>4500000</v>
      </c>
      <c r="X48" s="357">
        <v>4500000</v>
      </c>
      <c r="Y48" s="357">
        <f>X48</f>
        <v>4500000</v>
      </c>
      <c r="Z48" s="2893"/>
      <c r="AA48" s="2879"/>
      <c r="AB48" s="2879"/>
      <c r="AC48" s="2883"/>
      <c r="AD48" s="2879"/>
      <c r="AE48" s="2883"/>
      <c r="AF48" s="2879"/>
      <c r="AG48" s="2883"/>
      <c r="AH48" s="2879"/>
      <c r="AI48" s="2883"/>
      <c r="AJ48" s="2879"/>
      <c r="AK48" s="2883"/>
      <c r="AL48" s="2879"/>
      <c r="AM48" s="2883"/>
      <c r="AN48" s="2879"/>
      <c r="AO48" s="2883"/>
      <c r="AP48" s="2879"/>
      <c r="AQ48" s="2883"/>
      <c r="AR48" s="2879"/>
      <c r="AS48" s="2883"/>
      <c r="AT48" s="2879"/>
      <c r="AU48" s="2883"/>
      <c r="AV48" s="2879"/>
      <c r="AW48" s="2883"/>
      <c r="AX48" s="2879"/>
      <c r="AY48" s="2883"/>
      <c r="AZ48" s="2879"/>
      <c r="BA48" s="2718"/>
      <c r="BB48" s="2907"/>
      <c r="BC48" s="2670"/>
      <c r="BD48" s="2879"/>
      <c r="BE48" s="2879"/>
      <c r="BF48" s="2901"/>
      <c r="BG48" s="2904"/>
      <c r="BH48" s="2901"/>
      <c r="BI48" s="2904"/>
      <c r="BJ48" s="2896"/>
    </row>
    <row r="49" spans="1:74" s="130" customFormat="1" ht="42.75" customHeight="1" x14ac:dyDescent="0.2">
      <c r="A49" s="1321"/>
      <c r="B49" s="356"/>
      <c r="C49" s="356"/>
      <c r="D49" s="1325"/>
      <c r="E49" s="356"/>
      <c r="F49" s="356"/>
      <c r="G49" s="1325"/>
      <c r="H49" s="356"/>
      <c r="I49" s="1322"/>
      <c r="J49" s="2889">
        <v>263</v>
      </c>
      <c r="K49" s="2677" t="s">
        <v>203</v>
      </c>
      <c r="L49" s="2870" t="s">
        <v>146</v>
      </c>
      <c r="M49" s="2885">
        <v>1</v>
      </c>
      <c r="N49" s="2886">
        <v>0.6</v>
      </c>
      <c r="O49" s="2582"/>
      <c r="P49" s="2870"/>
      <c r="Q49" s="2871"/>
      <c r="R49" s="2899">
        <f>+S49/131800000*100</f>
        <v>45.447647951441574</v>
      </c>
      <c r="S49" s="2875">
        <v>59900000</v>
      </c>
      <c r="T49" s="2871"/>
      <c r="U49" s="2666" t="s">
        <v>204</v>
      </c>
      <c r="V49" s="2124" t="s">
        <v>205</v>
      </c>
      <c r="W49" s="2455">
        <v>35000000</v>
      </c>
      <c r="X49" s="357"/>
      <c r="Y49" s="357"/>
      <c r="Z49" s="2893"/>
      <c r="AA49" s="2879"/>
      <c r="AB49" s="2879"/>
      <c r="AC49" s="2883"/>
      <c r="AD49" s="2879"/>
      <c r="AE49" s="2883"/>
      <c r="AF49" s="2879"/>
      <c r="AG49" s="2883"/>
      <c r="AH49" s="2879"/>
      <c r="AI49" s="2883"/>
      <c r="AJ49" s="2879"/>
      <c r="AK49" s="2883"/>
      <c r="AL49" s="2879"/>
      <c r="AM49" s="2883"/>
      <c r="AN49" s="2879"/>
      <c r="AO49" s="2883"/>
      <c r="AP49" s="2879"/>
      <c r="AQ49" s="2883"/>
      <c r="AR49" s="2879"/>
      <c r="AS49" s="2883"/>
      <c r="AT49" s="2879"/>
      <c r="AU49" s="2883"/>
      <c r="AV49" s="2879"/>
      <c r="AW49" s="2883"/>
      <c r="AX49" s="2879"/>
      <c r="AY49" s="2883"/>
      <c r="AZ49" s="2879"/>
      <c r="BA49" s="2718"/>
      <c r="BB49" s="2907"/>
      <c r="BC49" s="2670"/>
      <c r="BD49" s="2879"/>
      <c r="BE49" s="2879"/>
      <c r="BF49" s="2901"/>
      <c r="BG49" s="2904"/>
      <c r="BH49" s="2901"/>
      <c r="BI49" s="2904"/>
      <c r="BJ49" s="2896"/>
    </row>
    <row r="50" spans="1:74" s="130" customFormat="1" ht="33" customHeight="1" x14ac:dyDescent="0.2">
      <c r="A50" s="1321"/>
      <c r="B50" s="356"/>
      <c r="C50" s="356"/>
      <c r="D50" s="1325"/>
      <c r="E50" s="356"/>
      <c r="F50" s="356"/>
      <c r="G50" s="1325"/>
      <c r="H50" s="356"/>
      <c r="I50" s="1322"/>
      <c r="J50" s="2889"/>
      <c r="K50" s="2677"/>
      <c r="L50" s="2870"/>
      <c r="M50" s="2885"/>
      <c r="N50" s="2887"/>
      <c r="O50" s="2582"/>
      <c r="P50" s="2870"/>
      <c r="Q50" s="2871"/>
      <c r="R50" s="2899"/>
      <c r="S50" s="2876"/>
      <c r="T50" s="2871"/>
      <c r="U50" s="2667"/>
      <c r="V50" s="2124" t="s">
        <v>206</v>
      </c>
      <c r="W50" s="2455">
        <v>11200000</v>
      </c>
      <c r="X50" s="357">
        <v>6400000</v>
      </c>
      <c r="Y50" s="357">
        <f>X50</f>
        <v>6400000</v>
      </c>
      <c r="Z50" s="2893"/>
      <c r="AA50" s="2879"/>
      <c r="AB50" s="2879"/>
      <c r="AC50" s="2883"/>
      <c r="AD50" s="2879"/>
      <c r="AE50" s="2883"/>
      <c r="AF50" s="2879"/>
      <c r="AG50" s="2883"/>
      <c r="AH50" s="2879"/>
      <c r="AI50" s="2883"/>
      <c r="AJ50" s="2879"/>
      <c r="AK50" s="2883"/>
      <c r="AL50" s="2879"/>
      <c r="AM50" s="2883"/>
      <c r="AN50" s="2879"/>
      <c r="AO50" s="2883"/>
      <c r="AP50" s="2879"/>
      <c r="AQ50" s="2883"/>
      <c r="AR50" s="2879"/>
      <c r="AS50" s="2883"/>
      <c r="AT50" s="2879"/>
      <c r="AU50" s="2883"/>
      <c r="AV50" s="2879"/>
      <c r="AW50" s="2883"/>
      <c r="AX50" s="2879"/>
      <c r="AY50" s="2883"/>
      <c r="AZ50" s="2879"/>
      <c r="BA50" s="2718"/>
      <c r="BB50" s="2907"/>
      <c r="BC50" s="2670"/>
      <c r="BD50" s="2879"/>
      <c r="BE50" s="2879"/>
      <c r="BF50" s="2901"/>
      <c r="BG50" s="2904"/>
      <c r="BH50" s="2901"/>
      <c r="BI50" s="2904"/>
      <c r="BJ50" s="2896"/>
    </row>
    <row r="51" spans="1:74" s="130" customFormat="1" ht="45" customHeight="1" x14ac:dyDescent="0.2">
      <c r="A51" s="1321"/>
      <c r="B51" s="356"/>
      <c r="C51" s="356"/>
      <c r="D51" s="1325"/>
      <c r="E51" s="356"/>
      <c r="F51" s="356"/>
      <c r="G51" s="1325"/>
      <c r="H51" s="356"/>
      <c r="I51" s="1322"/>
      <c r="J51" s="2889"/>
      <c r="K51" s="2677"/>
      <c r="L51" s="2870"/>
      <c r="M51" s="2885"/>
      <c r="N51" s="2888"/>
      <c r="O51" s="2582"/>
      <c r="P51" s="2870"/>
      <c r="Q51" s="2871"/>
      <c r="R51" s="2899"/>
      <c r="S51" s="2877"/>
      <c r="T51" s="2871"/>
      <c r="U51" s="2668"/>
      <c r="V51" s="2124" t="s">
        <v>207</v>
      </c>
      <c r="W51" s="2455">
        <v>13700000</v>
      </c>
      <c r="X51" s="357"/>
      <c r="Y51" s="357"/>
      <c r="Z51" s="2893"/>
      <c r="AA51" s="2879"/>
      <c r="AB51" s="2879"/>
      <c r="AC51" s="2883"/>
      <c r="AD51" s="2879"/>
      <c r="AE51" s="2883"/>
      <c r="AF51" s="2879"/>
      <c r="AG51" s="2883"/>
      <c r="AH51" s="2879"/>
      <c r="AI51" s="2883"/>
      <c r="AJ51" s="2879"/>
      <c r="AK51" s="2883"/>
      <c r="AL51" s="2879"/>
      <c r="AM51" s="2883"/>
      <c r="AN51" s="2879"/>
      <c r="AO51" s="2883"/>
      <c r="AP51" s="2879"/>
      <c r="AQ51" s="2883"/>
      <c r="AR51" s="2879"/>
      <c r="AS51" s="2883"/>
      <c r="AT51" s="2879"/>
      <c r="AU51" s="2883"/>
      <c r="AV51" s="2879"/>
      <c r="AW51" s="2883"/>
      <c r="AX51" s="2879"/>
      <c r="AY51" s="2883"/>
      <c r="AZ51" s="2879"/>
      <c r="BA51" s="2718"/>
      <c r="BB51" s="2907"/>
      <c r="BC51" s="2670"/>
      <c r="BD51" s="2879"/>
      <c r="BE51" s="2879"/>
      <c r="BF51" s="2901"/>
      <c r="BG51" s="2904"/>
      <c r="BH51" s="2901"/>
      <c r="BI51" s="2904"/>
      <c r="BJ51" s="2896"/>
    </row>
    <row r="52" spans="1:74" s="130" customFormat="1" ht="70.5" customHeight="1" x14ac:dyDescent="0.2">
      <c r="A52" s="1321"/>
      <c r="B52" s="356"/>
      <c r="C52" s="356"/>
      <c r="D52" s="1325"/>
      <c r="E52" s="356"/>
      <c r="F52" s="356"/>
      <c r="G52" s="1325"/>
      <c r="H52" s="356"/>
      <c r="I52" s="1322"/>
      <c r="J52" s="2889">
        <v>261</v>
      </c>
      <c r="K52" s="2677" t="s">
        <v>208</v>
      </c>
      <c r="L52" s="2870" t="s">
        <v>146</v>
      </c>
      <c r="M52" s="2885">
        <v>2</v>
      </c>
      <c r="N52" s="2890">
        <v>2</v>
      </c>
      <c r="O52" s="2582"/>
      <c r="P52" s="2870"/>
      <c r="Q52" s="2871"/>
      <c r="R52" s="2899">
        <f>+S52/131800000*100</f>
        <v>20.637329286798177</v>
      </c>
      <c r="S52" s="2875">
        <v>27200000</v>
      </c>
      <c r="T52" s="2871"/>
      <c r="U52" s="2677" t="s">
        <v>209</v>
      </c>
      <c r="V52" s="2124" t="s">
        <v>210</v>
      </c>
      <c r="W52" s="2455">
        <v>9070000</v>
      </c>
      <c r="X52" s="357">
        <v>9070000</v>
      </c>
      <c r="Y52" s="357">
        <f>X52</f>
        <v>9070000</v>
      </c>
      <c r="Z52" s="2893"/>
      <c r="AA52" s="2879"/>
      <c r="AB52" s="2879"/>
      <c r="AC52" s="2883"/>
      <c r="AD52" s="2879"/>
      <c r="AE52" s="2883"/>
      <c r="AF52" s="2879"/>
      <c r="AG52" s="2883"/>
      <c r="AH52" s="2879"/>
      <c r="AI52" s="2883"/>
      <c r="AJ52" s="2879"/>
      <c r="AK52" s="2883"/>
      <c r="AL52" s="2879"/>
      <c r="AM52" s="2883"/>
      <c r="AN52" s="2879"/>
      <c r="AO52" s="2883"/>
      <c r="AP52" s="2879"/>
      <c r="AQ52" s="2883"/>
      <c r="AR52" s="2879"/>
      <c r="AS52" s="2883"/>
      <c r="AT52" s="2879"/>
      <c r="AU52" s="2883"/>
      <c r="AV52" s="2879"/>
      <c r="AW52" s="2883"/>
      <c r="AX52" s="2879"/>
      <c r="AY52" s="2883"/>
      <c r="AZ52" s="2879"/>
      <c r="BA52" s="2718"/>
      <c r="BB52" s="2907"/>
      <c r="BC52" s="2670"/>
      <c r="BD52" s="2879"/>
      <c r="BE52" s="2879"/>
      <c r="BF52" s="2901"/>
      <c r="BG52" s="2904"/>
      <c r="BH52" s="2901"/>
      <c r="BI52" s="2904"/>
      <c r="BJ52" s="2896"/>
    </row>
    <row r="53" spans="1:74" s="130" customFormat="1" ht="45" customHeight="1" x14ac:dyDescent="0.2">
      <c r="A53" s="1321"/>
      <c r="B53" s="356"/>
      <c r="C53" s="356"/>
      <c r="D53" s="1325"/>
      <c r="E53" s="356"/>
      <c r="F53" s="356"/>
      <c r="G53" s="1325"/>
      <c r="H53" s="356"/>
      <c r="I53" s="1322"/>
      <c r="J53" s="2889"/>
      <c r="K53" s="2677"/>
      <c r="L53" s="2870"/>
      <c r="M53" s="2885"/>
      <c r="N53" s="2890"/>
      <c r="O53" s="2582"/>
      <c r="P53" s="2870"/>
      <c r="Q53" s="2871"/>
      <c r="R53" s="2899"/>
      <c r="S53" s="2876"/>
      <c r="T53" s="2871"/>
      <c r="U53" s="2677"/>
      <c r="V53" s="2124" t="s">
        <v>211</v>
      </c>
      <c r="W53" s="2455">
        <v>9070000</v>
      </c>
      <c r="X53" s="357">
        <v>4130000</v>
      </c>
      <c r="Y53" s="357">
        <f>X53</f>
        <v>4130000</v>
      </c>
      <c r="Z53" s="2893"/>
      <c r="AA53" s="2879"/>
      <c r="AB53" s="2879"/>
      <c r="AC53" s="2883"/>
      <c r="AD53" s="2879"/>
      <c r="AE53" s="2883"/>
      <c r="AF53" s="2879"/>
      <c r="AG53" s="2883"/>
      <c r="AH53" s="2879"/>
      <c r="AI53" s="2883"/>
      <c r="AJ53" s="2879"/>
      <c r="AK53" s="2883"/>
      <c r="AL53" s="2879"/>
      <c r="AM53" s="2883"/>
      <c r="AN53" s="2879"/>
      <c r="AO53" s="2883"/>
      <c r="AP53" s="2879"/>
      <c r="AQ53" s="2883"/>
      <c r="AR53" s="2879"/>
      <c r="AS53" s="2883"/>
      <c r="AT53" s="2879"/>
      <c r="AU53" s="2883"/>
      <c r="AV53" s="2879"/>
      <c r="AW53" s="2883"/>
      <c r="AX53" s="2879"/>
      <c r="AY53" s="2883"/>
      <c r="AZ53" s="2879"/>
      <c r="BA53" s="2718"/>
      <c r="BB53" s="2907"/>
      <c r="BC53" s="2670"/>
      <c r="BD53" s="2879"/>
      <c r="BE53" s="2879"/>
      <c r="BF53" s="2901"/>
      <c r="BG53" s="2904"/>
      <c r="BH53" s="2901"/>
      <c r="BI53" s="2904"/>
      <c r="BJ53" s="2896"/>
    </row>
    <row r="54" spans="1:74" s="130" customFormat="1" ht="55.5" customHeight="1" x14ac:dyDescent="0.2">
      <c r="A54" s="1321"/>
      <c r="B54" s="356"/>
      <c r="C54" s="356"/>
      <c r="D54" s="1325"/>
      <c r="E54" s="356"/>
      <c r="F54" s="356"/>
      <c r="G54" s="1325"/>
      <c r="H54" s="356"/>
      <c r="I54" s="1322"/>
      <c r="J54" s="2889"/>
      <c r="K54" s="2677"/>
      <c r="L54" s="2870"/>
      <c r="M54" s="2885"/>
      <c r="N54" s="2891"/>
      <c r="O54" s="2583"/>
      <c r="P54" s="2870"/>
      <c r="Q54" s="2871"/>
      <c r="R54" s="2899"/>
      <c r="S54" s="2877"/>
      <c r="T54" s="2871"/>
      <c r="U54" s="2677"/>
      <c r="V54" s="2103" t="s">
        <v>212</v>
      </c>
      <c r="W54" s="2455">
        <v>9060000</v>
      </c>
      <c r="X54" s="357">
        <v>6800000</v>
      </c>
      <c r="Y54" s="357">
        <f>X54</f>
        <v>6800000</v>
      </c>
      <c r="Z54" s="2894"/>
      <c r="AA54" s="2880"/>
      <c r="AB54" s="2880"/>
      <c r="AC54" s="2884"/>
      <c r="AD54" s="2880"/>
      <c r="AE54" s="2884"/>
      <c r="AF54" s="2880"/>
      <c r="AG54" s="2884"/>
      <c r="AH54" s="2880"/>
      <c r="AI54" s="2884"/>
      <c r="AJ54" s="2880"/>
      <c r="AK54" s="2884"/>
      <c r="AL54" s="2880"/>
      <c r="AM54" s="2884"/>
      <c r="AN54" s="2880"/>
      <c r="AO54" s="2884"/>
      <c r="AP54" s="2880"/>
      <c r="AQ54" s="2884"/>
      <c r="AR54" s="2880"/>
      <c r="AS54" s="2884"/>
      <c r="AT54" s="2880"/>
      <c r="AU54" s="2884"/>
      <c r="AV54" s="2880"/>
      <c r="AW54" s="2884"/>
      <c r="AX54" s="2880"/>
      <c r="AY54" s="2884"/>
      <c r="AZ54" s="2880"/>
      <c r="BA54" s="2719"/>
      <c r="BB54" s="2908"/>
      <c r="BC54" s="2671"/>
      <c r="BD54" s="2880"/>
      <c r="BE54" s="2880"/>
      <c r="BF54" s="2902"/>
      <c r="BG54" s="2905"/>
      <c r="BH54" s="2902"/>
      <c r="BI54" s="2905"/>
      <c r="BJ54" s="2897"/>
    </row>
    <row r="55" spans="1:74" ht="175.5" customHeight="1" x14ac:dyDescent="0.2">
      <c r="A55" s="1314"/>
      <c r="B55" s="283"/>
      <c r="C55" s="283"/>
      <c r="D55" s="334"/>
      <c r="E55" s="283"/>
      <c r="F55" s="283"/>
      <c r="G55" s="334"/>
      <c r="H55" s="283"/>
      <c r="I55" s="335"/>
      <c r="J55" s="2795">
        <v>262</v>
      </c>
      <c r="K55" s="2786" t="s">
        <v>213</v>
      </c>
      <c r="L55" s="2817" t="s">
        <v>146</v>
      </c>
      <c r="M55" s="2824">
        <v>1</v>
      </c>
      <c r="N55" s="2840">
        <v>0</v>
      </c>
      <c r="O55" s="2644" t="s">
        <v>214</v>
      </c>
      <c r="P55" s="2644">
        <v>10</v>
      </c>
      <c r="Q55" s="2786" t="s">
        <v>215</v>
      </c>
      <c r="R55" s="2843">
        <v>100</v>
      </c>
      <c r="S55" s="2875">
        <v>100000000</v>
      </c>
      <c r="T55" s="2786" t="s">
        <v>216</v>
      </c>
      <c r="U55" s="2123" t="s">
        <v>217</v>
      </c>
      <c r="V55" s="2123" t="s">
        <v>218</v>
      </c>
      <c r="W55" s="320">
        <v>30000000</v>
      </c>
      <c r="X55" s="321"/>
      <c r="Y55" s="321"/>
      <c r="Z55" s="2824">
        <v>20</v>
      </c>
      <c r="AA55" s="2817" t="s">
        <v>219</v>
      </c>
      <c r="AB55" s="2795"/>
      <c r="AC55" s="2826"/>
      <c r="AD55" s="2795">
        <v>72224</v>
      </c>
      <c r="AE55" s="2826"/>
      <c r="AF55" s="2795">
        <v>27477</v>
      </c>
      <c r="AG55" s="2826"/>
      <c r="AH55" s="2795">
        <v>86843</v>
      </c>
      <c r="AI55" s="2826"/>
      <c r="AJ55" s="2795">
        <v>236429</v>
      </c>
      <c r="AK55" s="2826"/>
      <c r="AL55" s="2795">
        <v>81384</v>
      </c>
      <c r="AM55" s="2826"/>
      <c r="AN55" s="2795">
        <v>12718</v>
      </c>
      <c r="AO55" s="2826"/>
      <c r="AP55" s="2795">
        <v>2145</v>
      </c>
      <c r="AQ55" s="2826"/>
      <c r="AR55" s="2795">
        <v>413</v>
      </c>
      <c r="AS55" s="2826"/>
      <c r="AT55" s="2795">
        <v>78</v>
      </c>
      <c r="AU55" s="2826"/>
      <c r="AV55" s="2795">
        <v>16897</v>
      </c>
      <c r="AW55" s="2826"/>
      <c r="AX55" s="2795">
        <v>81384</v>
      </c>
      <c r="AY55" s="2826"/>
      <c r="AZ55" s="2795"/>
      <c r="BA55" s="2809"/>
      <c r="BB55" s="2809"/>
      <c r="BC55" s="2795"/>
      <c r="BD55" s="2795"/>
      <c r="BE55" s="2795"/>
      <c r="BF55" s="2846">
        <v>42614</v>
      </c>
      <c r="BG55" s="2143"/>
      <c r="BH55" s="2846">
        <v>42735</v>
      </c>
      <c r="BI55" s="1332"/>
      <c r="BJ55" s="2869" t="s">
        <v>133</v>
      </c>
    </row>
    <row r="56" spans="1:74" ht="175.5" customHeight="1" x14ac:dyDescent="0.2">
      <c r="A56" s="1314"/>
      <c r="B56" s="283"/>
      <c r="C56" s="283"/>
      <c r="D56" s="334"/>
      <c r="E56" s="283"/>
      <c r="F56" s="283"/>
      <c r="G56" s="334"/>
      <c r="H56" s="283"/>
      <c r="I56" s="335"/>
      <c r="J56" s="2796"/>
      <c r="K56" s="2787"/>
      <c r="L56" s="2818"/>
      <c r="M56" s="2825"/>
      <c r="N56" s="2841"/>
      <c r="O56" s="2645"/>
      <c r="P56" s="2645"/>
      <c r="Q56" s="2787"/>
      <c r="R56" s="2844"/>
      <c r="S56" s="2876"/>
      <c r="T56" s="2787"/>
      <c r="U56" s="358" t="s">
        <v>220</v>
      </c>
      <c r="V56" s="2146" t="s">
        <v>221</v>
      </c>
      <c r="W56" s="2163">
        <v>60000000</v>
      </c>
      <c r="X56" s="321"/>
      <c r="Y56" s="321"/>
      <c r="Z56" s="2825"/>
      <c r="AA56" s="2818"/>
      <c r="AB56" s="2796"/>
      <c r="AC56" s="2827"/>
      <c r="AD56" s="2796"/>
      <c r="AE56" s="2827"/>
      <c r="AF56" s="2796"/>
      <c r="AG56" s="2827"/>
      <c r="AH56" s="2796"/>
      <c r="AI56" s="2827"/>
      <c r="AJ56" s="2796"/>
      <c r="AK56" s="2827"/>
      <c r="AL56" s="2796"/>
      <c r="AM56" s="2827"/>
      <c r="AN56" s="2796"/>
      <c r="AO56" s="2827"/>
      <c r="AP56" s="2796"/>
      <c r="AQ56" s="2827"/>
      <c r="AR56" s="2796"/>
      <c r="AS56" s="2827"/>
      <c r="AT56" s="2796"/>
      <c r="AU56" s="2827"/>
      <c r="AV56" s="2796"/>
      <c r="AW56" s="2827"/>
      <c r="AX56" s="2796"/>
      <c r="AY56" s="2827"/>
      <c r="AZ56" s="2796"/>
      <c r="BA56" s="2810"/>
      <c r="BB56" s="2810"/>
      <c r="BC56" s="2796"/>
      <c r="BD56" s="2796"/>
      <c r="BE56" s="2796"/>
      <c r="BF56" s="2847"/>
      <c r="BG56" s="2144"/>
      <c r="BH56" s="2847"/>
      <c r="BI56" s="359"/>
      <c r="BJ56" s="2864"/>
    </row>
    <row r="57" spans="1:74" ht="192.75" customHeight="1" x14ac:dyDescent="0.2">
      <c r="A57" s="1314"/>
      <c r="B57" s="283"/>
      <c r="C57" s="283"/>
      <c r="D57" s="334"/>
      <c r="E57" s="283"/>
      <c r="F57" s="283"/>
      <c r="G57" s="334"/>
      <c r="H57" s="283"/>
      <c r="I57" s="335"/>
      <c r="J57" s="2797"/>
      <c r="K57" s="2788"/>
      <c r="L57" s="2834"/>
      <c r="M57" s="2868"/>
      <c r="N57" s="2842"/>
      <c r="O57" s="2646"/>
      <c r="P57" s="2646"/>
      <c r="Q57" s="2788"/>
      <c r="R57" s="2845"/>
      <c r="S57" s="2877"/>
      <c r="T57" s="2788"/>
      <c r="U57" s="1307" t="s">
        <v>222</v>
      </c>
      <c r="V57" s="2123" t="s">
        <v>223</v>
      </c>
      <c r="W57" s="320">
        <v>10000000</v>
      </c>
      <c r="X57" s="321"/>
      <c r="Y57" s="321"/>
      <c r="Z57" s="2868"/>
      <c r="AA57" s="2834"/>
      <c r="AB57" s="2797"/>
      <c r="AC57" s="2862"/>
      <c r="AD57" s="2797"/>
      <c r="AE57" s="2862"/>
      <c r="AF57" s="2797"/>
      <c r="AG57" s="2862"/>
      <c r="AH57" s="2797"/>
      <c r="AI57" s="2862"/>
      <c r="AJ57" s="2797"/>
      <c r="AK57" s="2862"/>
      <c r="AL57" s="2797"/>
      <c r="AM57" s="2862"/>
      <c r="AN57" s="2797"/>
      <c r="AO57" s="2862"/>
      <c r="AP57" s="2797"/>
      <c r="AQ57" s="2862"/>
      <c r="AR57" s="2797"/>
      <c r="AS57" s="2862"/>
      <c r="AT57" s="2797"/>
      <c r="AU57" s="2862"/>
      <c r="AV57" s="2797"/>
      <c r="AW57" s="2862"/>
      <c r="AX57" s="2797"/>
      <c r="AY57" s="2862"/>
      <c r="AZ57" s="2797"/>
      <c r="BA57" s="2811"/>
      <c r="BB57" s="2811"/>
      <c r="BC57" s="2797"/>
      <c r="BD57" s="2797"/>
      <c r="BE57" s="2797"/>
      <c r="BF57" s="2866"/>
      <c r="BG57" s="2145"/>
      <c r="BH57" s="2866"/>
      <c r="BI57" s="1333"/>
      <c r="BJ57" s="2865"/>
    </row>
    <row r="58" spans="1:74" ht="175.5" customHeight="1" x14ac:dyDescent="0.2">
      <c r="A58" s="1314"/>
      <c r="B58" s="283"/>
      <c r="C58" s="283"/>
      <c r="D58" s="334"/>
      <c r="E58" s="283"/>
      <c r="F58" s="283"/>
      <c r="G58" s="334"/>
      <c r="H58" s="283"/>
      <c r="I58" s="335"/>
      <c r="J58" s="2795">
        <v>264</v>
      </c>
      <c r="K58" s="2786" t="s">
        <v>224</v>
      </c>
      <c r="L58" s="2817" t="s">
        <v>146</v>
      </c>
      <c r="M58" s="2824">
        <v>1</v>
      </c>
      <c r="N58" s="2840">
        <v>1</v>
      </c>
      <c r="O58" s="2644" t="s">
        <v>225</v>
      </c>
      <c r="P58" s="2644">
        <v>11</v>
      </c>
      <c r="Q58" s="2786" t="s">
        <v>226</v>
      </c>
      <c r="R58" s="2843">
        <v>100</v>
      </c>
      <c r="S58" s="2875">
        <v>100000000</v>
      </c>
      <c r="T58" s="2786" t="s">
        <v>227</v>
      </c>
      <c r="U58" s="2123" t="s">
        <v>228</v>
      </c>
      <c r="V58" s="2123" t="s">
        <v>229</v>
      </c>
      <c r="W58" s="320">
        <v>12800000</v>
      </c>
      <c r="X58" s="321">
        <v>12800000</v>
      </c>
      <c r="Y58" s="321">
        <f>X58</f>
        <v>12800000</v>
      </c>
      <c r="Z58" s="2824">
        <v>20</v>
      </c>
      <c r="AA58" s="2824" t="s">
        <v>165</v>
      </c>
      <c r="AB58" s="2795">
        <v>64149</v>
      </c>
      <c r="AC58" s="2826">
        <v>64149</v>
      </c>
      <c r="AD58" s="2795">
        <v>72224</v>
      </c>
      <c r="AE58" s="2826">
        <f>AD58</f>
        <v>72224</v>
      </c>
      <c r="AF58" s="2795">
        <v>27477</v>
      </c>
      <c r="AG58" s="2826">
        <f>AF58</f>
        <v>27477</v>
      </c>
      <c r="AH58" s="2795">
        <v>86843</v>
      </c>
      <c r="AI58" s="2826">
        <f>AH58</f>
        <v>86843</v>
      </c>
      <c r="AJ58" s="2795">
        <v>236429</v>
      </c>
      <c r="AK58" s="2826">
        <f>AJ58</f>
        <v>236429</v>
      </c>
      <c r="AL58" s="2795">
        <v>81384</v>
      </c>
      <c r="AM58" s="2826">
        <f>AL58</f>
        <v>81384</v>
      </c>
      <c r="AN58" s="2795">
        <v>12718</v>
      </c>
      <c r="AO58" s="2826">
        <f>AN58</f>
        <v>12718</v>
      </c>
      <c r="AP58" s="2795">
        <v>2145</v>
      </c>
      <c r="AQ58" s="2826">
        <f>AP58</f>
        <v>2145</v>
      </c>
      <c r="AR58" s="2795">
        <v>413</v>
      </c>
      <c r="AS58" s="2826">
        <f>AR58</f>
        <v>413</v>
      </c>
      <c r="AT58" s="2795">
        <v>78</v>
      </c>
      <c r="AU58" s="2826">
        <f>AT58</f>
        <v>78</v>
      </c>
      <c r="AV58" s="2795">
        <v>16897</v>
      </c>
      <c r="AW58" s="2826">
        <f>AV58</f>
        <v>16897</v>
      </c>
      <c r="AX58" s="2795">
        <v>81384</v>
      </c>
      <c r="AY58" s="2826">
        <f>AX58</f>
        <v>81384</v>
      </c>
      <c r="AZ58" s="2795">
        <v>7</v>
      </c>
      <c r="BA58" s="2809">
        <v>67800000</v>
      </c>
      <c r="BB58" s="2809">
        <v>63800000</v>
      </c>
      <c r="BC58" s="2587">
        <f>BB58/BA58</f>
        <v>0.94100294985250732</v>
      </c>
      <c r="BD58" s="2795" t="s">
        <v>230</v>
      </c>
      <c r="BE58" s="322" t="s">
        <v>231</v>
      </c>
      <c r="BF58" s="2846">
        <v>42597</v>
      </c>
      <c r="BG58" s="2848">
        <v>42622</v>
      </c>
      <c r="BH58" s="2846">
        <v>42735</v>
      </c>
      <c r="BI58" s="2848">
        <v>42732</v>
      </c>
      <c r="BJ58" s="2869" t="s">
        <v>133</v>
      </c>
      <c r="BK58" s="360"/>
      <c r="BL58" s="361"/>
      <c r="BM58" s="360">
        <v>72224</v>
      </c>
      <c r="BN58" s="361">
        <f>BL58</f>
        <v>0</v>
      </c>
      <c r="BO58" s="360">
        <v>27477</v>
      </c>
      <c r="BP58" s="361">
        <f>BO58</f>
        <v>27477</v>
      </c>
      <c r="BQ58" s="360">
        <v>86843</v>
      </c>
      <c r="BR58" s="361">
        <f>BQ58</f>
        <v>86843</v>
      </c>
      <c r="BS58" s="360">
        <v>236429</v>
      </c>
      <c r="BT58" s="361">
        <f>BS58</f>
        <v>236429</v>
      </c>
      <c r="BU58" s="360">
        <v>81384</v>
      </c>
      <c r="BV58" s="361">
        <f>BU58</f>
        <v>81384</v>
      </c>
    </row>
    <row r="59" spans="1:74" ht="136.5" customHeight="1" x14ac:dyDescent="0.2">
      <c r="A59" s="1314"/>
      <c r="B59" s="283"/>
      <c r="C59" s="283"/>
      <c r="D59" s="334"/>
      <c r="E59" s="283"/>
      <c r="F59" s="283"/>
      <c r="G59" s="334"/>
      <c r="H59" s="283"/>
      <c r="I59" s="335"/>
      <c r="J59" s="2796"/>
      <c r="K59" s="2787"/>
      <c r="L59" s="2818"/>
      <c r="M59" s="2825"/>
      <c r="N59" s="2841"/>
      <c r="O59" s="2645"/>
      <c r="P59" s="2645"/>
      <c r="Q59" s="2787"/>
      <c r="R59" s="2844"/>
      <c r="S59" s="2876"/>
      <c r="T59" s="2787"/>
      <c r="U59" s="2147" t="s">
        <v>232</v>
      </c>
      <c r="V59" s="2146" t="s">
        <v>233</v>
      </c>
      <c r="W59" s="2163">
        <v>42867000</v>
      </c>
      <c r="X59" s="321">
        <f>3000000+7500000+30500000</f>
        <v>41000000</v>
      </c>
      <c r="Y59" s="321">
        <f>X59</f>
        <v>41000000</v>
      </c>
      <c r="Z59" s="2825"/>
      <c r="AA59" s="2825"/>
      <c r="AB59" s="2796"/>
      <c r="AC59" s="2827"/>
      <c r="AD59" s="2796"/>
      <c r="AE59" s="2827"/>
      <c r="AF59" s="2796"/>
      <c r="AG59" s="2827"/>
      <c r="AH59" s="2796"/>
      <c r="AI59" s="2827"/>
      <c r="AJ59" s="2796"/>
      <c r="AK59" s="2827"/>
      <c r="AL59" s="2796"/>
      <c r="AM59" s="2827"/>
      <c r="AN59" s="2796"/>
      <c r="AO59" s="2827"/>
      <c r="AP59" s="2796"/>
      <c r="AQ59" s="2827"/>
      <c r="AR59" s="2796"/>
      <c r="AS59" s="2827"/>
      <c r="AT59" s="2796"/>
      <c r="AU59" s="2827"/>
      <c r="AV59" s="2796"/>
      <c r="AW59" s="2827"/>
      <c r="AX59" s="2796"/>
      <c r="AY59" s="2827"/>
      <c r="AZ59" s="2796"/>
      <c r="BA59" s="2810"/>
      <c r="BB59" s="2810"/>
      <c r="BC59" s="2588"/>
      <c r="BD59" s="2796"/>
      <c r="BE59" s="2149"/>
      <c r="BF59" s="2847"/>
      <c r="BG59" s="2849"/>
      <c r="BH59" s="2847"/>
      <c r="BI59" s="2849"/>
      <c r="BJ59" s="2864"/>
      <c r="BK59" s="360"/>
      <c r="BL59" s="361"/>
      <c r="BM59" s="360"/>
      <c r="BN59" s="361"/>
      <c r="BO59" s="360"/>
      <c r="BP59" s="361"/>
      <c r="BQ59" s="360"/>
      <c r="BR59" s="361"/>
      <c r="BS59" s="360"/>
      <c r="BT59" s="361"/>
      <c r="BU59" s="360"/>
      <c r="BV59" s="361"/>
    </row>
    <row r="60" spans="1:74" ht="171.75" customHeight="1" x14ac:dyDescent="0.2">
      <c r="A60" s="1314"/>
      <c r="B60" s="283"/>
      <c r="C60" s="283"/>
      <c r="D60" s="334"/>
      <c r="E60" s="283"/>
      <c r="F60" s="283"/>
      <c r="G60" s="334"/>
      <c r="H60" s="283"/>
      <c r="I60" s="335"/>
      <c r="J60" s="2797"/>
      <c r="K60" s="2788"/>
      <c r="L60" s="2834"/>
      <c r="M60" s="2868"/>
      <c r="N60" s="2842"/>
      <c r="O60" s="2646"/>
      <c r="P60" s="2646"/>
      <c r="Q60" s="2788"/>
      <c r="R60" s="2845"/>
      <c r="S60" s="2877"/>
      <c r="T60" s="2788"/>
      <c r="U60" s="2123" t="s">
        <v>234</v>
      </c>
      <c r="V60" s="2123" t="s">
        <v>235</v>
      </c>
      <c r="W60" s="320">
        <v>44333000</v>
      </c>
      <c r="X60" s="321">
        <f>10000000+4000000</f>
        <v>14000000</v>
      </c>
      <c r="Y60" s="321">
        <v>10000000</v>
      </c>
      <c r="Z60" s="2868"/>
      <c r="AA60" s="2868"/>
      <c r="AB60" s="2797"/>
      <c r="AC60" s="2862"/>
      <c r="AD60" s="2797"/>
      <c r="AE60" s="2862"/>
      <c r="AF60" s="2797"/>
      <c r="AG60" s="2862"/>
      <c r="AH60" s="2797"/>
      <c r="AI60" s="2862"/>
      <c r="AJ60" s="2797"/>
      <c r="AK60" s="2862"/>
      <c r="AL60" s="2797"/>
      <c r="AM60" s="2862"/>
      <c r="AN60" s="2797"/>
      <c r="AO60" s="2862"/>
      <c r="AP60" s="2797"/>
      <c r="AQ60" s="2862"/>
      <c r="AR60" s="2797"/>
      <c r="AS60" s="2862"/>
      <c r="AT60" s="2797"/>
      <c r="AU60" s="2862"/>
      <c r="AV60" s="2797"/>
      <c r="AW60" s="2862"/>
      <c r="AX60" s="2797"/>
      <c r="AY60" s="2862"/>
      <c r="AZ60" s="2797"/>
      <c r="BA60" s="2811"/>
      <c r="BB60" s="2811"/>
      <c r="BC60" s="2589"/>
      <c r="BD60" s="2797"/>
      <c r="BE60" s="1334" t="s">
        <v>156</v>
      </c>
      <c r="BF60" s="2866"/>
      <c r="BG60" s="2867"/>
      <c r="BH60" s="2866"/>
      <c r="BI60" s="2867"/>
      <c r="BJ60" s="2865"/>
      <c r="BK60" s="360"/>
      <c r="BL60" s="361"/>
      <c r="BM60" s="360"/>
      <c r="BN60" s="361"/>
      <c r="BO60" s="360"/>
      <c r="BP60" s="361"/>
      <c r="BQ60" s="360"/>
      <c r="BR60" s="361"/>
      <c r="BS60" s="360"/>
      <c r="BT60" s="361"/>
      <c r="BU60" s="360"/>
      <c r="BV60" s="361"/>
    </row>
    <row r="61" spans="1:74" ht="54" customHeight="1" x14ac:dyDescent="0.2">
      <c r="A61" s="1314"/>
      <c r="B61" s="283"/>
      <c r="C61" s="283"/>
      <c r="D61" s="334"/>
      <c r="E61" s="283"/>
      <c r="F61" s="283"/>
      <c r="G61" s="334"/>
      <c r="H61" s="283"/>
      <c r="I61" s="335"/>
      <c r="J61" s="2795">
        <v>265</v>
      </c>
      <c r="K61" s="2786" t="s">
        <v>236</v>
      </c>
      <c r="L61" s="2909" t="s">
        <v>146</v>
      </c>
      <c r="M61" s="2824">
        <v>1</v>
      </c>
      <c r="N61" s="2840">
        <v>1</v>
      </c>
      <c r="O61" s="1335"/>
      <c r="P61" s="2909">
        <v>12</v>
      </c>
      <c r="Q61" s="2910" t="s">
        <v>237</v>
      </c>
      <c r="R61" s="2843">
        <v>100</v>
      </c>
      <c r="S61" s="2875">
        <v>291450000</v>
      </c>
      <c r="T61" s="2910" t="s">
        <v>238</v>
      </c>
      <c r="U61" s="2786" t="s">
        <v>239</v>
      </c>
      <c r="V61" s="2123" t="s">
        <v>240</v>
      </c>
      <c r="W61" s="1336">
        <v>15600000</v>
      </c>
      <c r="X61" s="1337">
        <v>15600000</v>
      </c>
      <c r="Y61" s="1337">
        <f t="shared" ref="Y61:Y75" si="0">X61</f>
        <v>15600000</v>
      </c>
      <c r="Z61" s="2911">
        <v>20</v>
      </c>
      <c r="AA61" s="2913" t="s">
        <v>130</v>
      </c>
      <c r="AB61" s="2795">
        <v>64149</v>
      </c>
      <c r="AC61" s="2826">
        <f>AB61</f>
        <v>64149</v>
      </c>
      <c r="AD61" s="2795">
        <v>72224</v>
      </c>
      <c r="AE61" s="2826">
        <f>AD61</f>
        <v>72224</v>
      </c>
      <c r="AF61" s="2795">
        <v>27477</v>
      </c>
      <c r="AG61" s="2826">
        <f>AF61</f>
        <v>27477</v>
      </c>
      <c r="AH61" s="2795">
        <v>86843</v>
      </c>
      <c r="AI61" s="2826">
        <f>AH61</f>
        <v>86843</v>
      </c>
      <c r="AJ61" s="2795">
        <v>236429</v>
      </c>
      <c r="AK61" s="2826">
        <f>AJ61</f>
        <v>236429</v>
      </c>
      <c r="AL61" s="2795">
        <v>81384</v>
      </c>
      <c r="AM61" s="2826">
        <f>AL61</f>
        <v>81384</v>
      </c>
      <c r="AN61" s="2795">
        <v>12718</v>
      </c>
      <c r="AO61" s="2826">
        <f>AN61</f>
        <v>12718</v>
      </c>
      <c r="AP61" s="2795">
        <v>2145</v>
      </c>
      <c r="AQ61" s="2826">
        <f>AP61</f>
        <v>2145</v>
      </c>
      <c r="AR61" s="2795">
        <v>413</v>
      </c>
      <c r="AS61" s="2826">
        <f>AR61</f>
        <v>413</v>
      </c>
      <c r="AT61" s="2795">
        <v>78</v>
      </c>
      <c r="AU61" s="2826">
        <f>AT61</f>
        <v>78</v>
      </c>
      <c r="AV61" s="2795">
        <v>16897</v>
      </c>
      <c r="AW61" s="2826">
        <f>AV61</f>
        <v>16897</v>
      </c>
      <c r="AX61" s="2795">
        <v>81384</v>
      </c>
      <c r="AY61" s="2826">
        <f>AX61</f>
        <v>81384</v>
      </c>
      <c r="AZ61" s="2919">
        <v>13</v>
      </c>
      <c r="BA61" s="2922">
        <v>171449999</v>
      </c>
      <c r="BB61" s="2922">
        <v>171449999</v>
      </c>
      <c r="BC61" s="2587">
        <f>BB61/BA61</f>
        <v>1</v>
      </c>
      <c r="BD61" s="1338"/>
      <c r="BE61" s="2153"/>
      <c r="BF61" s="2846">
        <v>42487</v>
      </c>
      <c r="BG61" s="2848">
        <v>42487</v>
      </c>
      <c r="BH61" s="2846">
        <v>42735</v>
      </c>
      <c r="BI61" s="2848">
        <v>42732</v>
      </c>
      <c r="BJ61" s="2869" t="s">
        <v>133</v>
      </c>
      <c r="BK61" s="360"/>
      <c r="BL61" s="361"/>
      <c r="BM61" s="360"/>
      <c r="BN61" s="361"/>
      <c r="BO61" s="360"/>
      <c r="BP61" s="361"/>
      <c r="BQ61" s="360"/>
      <c r="BR61" s="361"/>
      <c r="BS61" s="360"/>
      <c r="BT61" s="361"/>
      <c r="BU61" s="360"/>
      <c r="BV61" s="361"/>
    </row>
    <row r="62" spans="1:74" ht="75" customHeight="1" x14ac:dyDescent="0.2">
      <c r="A62" s="1314"/>
      <c r="B62" s="283"/>
      <c r="C62" s="283"/>
      <c r="D62" s="334"/>
      <c r="E62" s="283"/>
      <c r="F62" s="283"/>
      <c r="G62" s="334"/>
      <c r="H62" s="283"/>
      <c r="I62" s="335"/>
      <c r="J62" s="2796"/>
      <c r="K62" s="2787"/>
      <c r="L62" s="2909"/>
      <c r="M62" s="2825"/>
      <c r="N62" s="2841"/>
      <c r="O62" s="362" t="s">
        <v>241</v>
      </c>
      <c r="P62" s="2909"/>
      <c r="Q62" s="2910"/>
      <c r="R62" s="2844"/>
      <c r="S62" s="2876"/>
      <c r="T62" s="2910"/>
      <c r="U62" s="2787"/>
      <c r="V62" s="2146" t="s">
        <v>242</v>
      </c>
      <c r="W62" s="320">
        <v>67800000</v>
      </c>
      <c r="X62" s="321">
        <f>15000000+3000000+14800000+20000000-1+15000000</f>
        <v>67799999</v>
      </c>
      <c r="Y62" s="321">
        <f t="shared" si="0"/>
        <v>67799999</v>
      </c>
      <c r="Z62" s="2912"/>
      <c r="AA62" s="2914"/>
      <c r="AB62" s="2796"/>
      <c r="AC62" s="2827"/>
      <c r="AD62" s="2796"/>
      <c r="AE62" s="2827"/>
      <c r="AF62" s="2796"/>
      <c r="AG62" s="2827"/>
      <c r="AH62" s="2796"/>
      <c r="AI62" s="2827"/>
      <c r="AJ62" s="2796"/>
      <c r="AK62" s="2827"/>
      <c r="AL62" s="2796"/>
      <c r="AM62" s="2827"/>
      <c r="AN62" s="2796"/>
      <c r="AO62" s="2827"/>
      <c r="AP62" s="2796"/>
      <c r="AQ62" s="2827"/>
      <c r="AR62" s="2796"/>
      <c r="AS62" s="2827"/>
      <c r="AT62" s="2796"/>
      <c r="AU62" s="2827"/>
      <c r="AV62" s="2796"/>
      <c r="AW62" s="2827"/>
      <c r="AX62" s="2796"/>
      <c r="AY62" s="2827"/>
      <c r="AZ62" s="2920"/>
      <c r="BA62" s="2923"/>
      <c r="BB62" s="2923"/>
      <c r="BC62" s="2588"/>
      <c r="BD62" s="362"/>
      <c r="BE62" s="2149"/>
      <c r="BF62" s="2847"/>
      <c r="BG62" s="2849"/>
      <c r="BH62" s="2847"/>
      <c r="BI62" s="2849"/>
      <c r="BJ62" s="2864"/>
      <c r="BK62" s="360"/>
      <c r="BL62" s="361"/>
      <c r="BM62" s="360"/>
      <c r="BN62" s="361"/>
      <c r="BO62" s="360"/>
      <c r="BP62" s="361"/>
      <c r="BQ62" s="360"/>
      <c r="BR62" s="361"/>
      <c r="BS62" s="360"/>
      <c r="BT62" s="361"/>
      <c r="BU62" s="360"/>
      <c r="BV62" s="361"/>
    </row>
    <row r="63" spans="1:74" ht="72.75" customHeight="1" x14ac:dyDescent="0.2">
      <c r="A63" s="1314"/>
      <c r="B63" s="283"/>
      <c r="C63" s="283"/>
      <c r="D63" s="334"/>
      <c r="E63" s="283"/>
      <c r="F63" s="283"/>
      <c r="G63" s="334"/>
      <c r="H63" s="283"/>
      <c r="I63" s="335"/>
      <c r="J63" s="2796"/>
      <c r="K63" s="2787"/>
      <c r="L63" s="2909"/>
      <c r="M63" s="2825"/>
      <c r="N63" s="2841"/>
      <c r="O63" s="362" t="s">
        <v>243</v>
      </c>
      <c r="P63" s="2909"/>
      <c r="Q63" s="2910"/>
      <c r="R63" s="2844"/>
      <c r="S63" s="2876"/>
      <c r="T63" s="2910"/>
      <c r="U63" s="2787"/>
      <c r="V63" s="2146" t="s">
        <v>244</v>
      </c>
      <c r="W63" s="320">
        <v>46800000</v>
      </c>
      <c r="X63" s="321">
        <f>20400000+26400000</f>
        <v>46800000</v>
      </c>
      <c r="Y63" s="321">
        <f t="shared" si="0"/>
        <v>46800000</v>
      </c>
      <c r="Z63" s="2912"/>
      <c r="AA63" s="2914"/>
      <c r="AB63" s="2796"/>
      <c r="AC63" s="2827"/>
      <c r="AD63" s="2796"/>
      <c r="AE63" s="2827"/>
      <c r="AF63" s="2796"/>
      <c r="AG63" s="2827"/>
      <c r="AH63" s="2796"/>
      <c r="AI63" s="2827"/>
      <c r="AJ63" s="2796"/>
      <c r="AK63" s="2827"/>
      <c r="AL63" s="2796"/>
      <c r="AM63" s="2827"/>
      <c r="AN63" s="2796"/>
      <c r="AO63" s="2827"/>
      <c r="AP63" s="2796"/>
      <c r="AQ63" s="2827"/>
      <c r="AR63" s="2796"/>
      <c r="AS63" s="2827"/>
      <c r="AT63" s="2796"/>
      <c r="AU63" s="2827"/>
      <c r="AV63" s="2796"/>
      <c r="AW63" s="2827"/>
      <c r="AX63" s="2796"/>
      <c r="AY63" s="2827"/>
      <c r="AZ63" s="2920"/>
      <c r="BA63" s="2923"/>
      <c r="BB63" s="2923"/>
      <c r="BC63" s="2588"/>
      <c r="BD63" s="2796" t="s">
        <v>131</v>
      </c>
      <c r="BE63" s="2149" t="s">
        <v>245</v>
      </c>
      <c r="BF63" s="2847"/>
      <c r="BG63" s="2849"/>
      <c r="BH63" s="2847"/>
      <c r="BI63" s="2849"/>
      <c r="BJ63" s="2864"/>
      <c r="BK63" s="360"/>
      <c r="BL63" s="361"/>
      <c r="BM63" s="360"/>
      <c r="BN63" s="361"/>
      <c r="BO63" s="360"/>
      <c r="BP63" s="361"/>
      <c r="BQ63" s="360"/>
      <c r="BR63" s="361"/>
      <c r="BS63" s="360"/>
      <c r="BT63" s="361"/>
      <c r="BU63" s="360"/>
      <c r="BV63" s="361"/>
    </row>
    <row r="64" spans="1:74" ht="105" customHeight="1" x14ac:dyDescent="0.2">
      <c r="A64" s="1314"/>
      <c r="B64" s="283"/>
      <c r="C64" s="283"/>
      <c r="D64" s="334"/>
      <c r="E64" s="283"/>
      <c r="F64" s="283"/>
      <c r="G64" s="334"/>
      <c r="H64" s="283"/>
      <c r="I64" s="335"/>
      <c r="J64" s="2796"/>
      <c r="K64" s="2787"/>
      <c r="L64" s="2909"/>
      <c r="M64" s="2825"/>
      <c r="N64" s="2841"/>
      <c r="O64" s="362" t="s">
        <v>246</v>
      </c>
      <c r="P64" s="2909"/>
      <c r="Q64" s="2910"/>
      <c r="R64" s="2844"/>
      <c r="S64" s="2876"/>
      <c r="T64" s="2910"/>
      <c r="U64" s="2788"/>
      <c r="V64" s="2146" t="s">
        <v>247</v>
      </c>
      <c r="W64" s="320">
        <v>26450000</v>
      </c>
      <c r="X64" s="321">
        <f>W64</f>
        <v>26450000</v>
      </c>
      <c r="Y64" s="321">
        <f t="shared" si="0"/>
        <v>26450000</v>
      </c>
      <c r="Z64" s="2825">
        <v>88</v>
      </c>
      <c r="AA64" s="363"/>
      <c r="AB64" s="2796"/>
      <c r="AC64" s="2827"/>
      <c r="AD64" s="2796"/>
      <c r="AE64" s="2827"/>
      <c r="AF64" s="2796"/>
      <c r="AG64" s="2827"/>
      <c r="AH64" s="2796"/>
      <c r="AI64" s="2827"/>
      <c r="AJ64" s="2796"/>
      <c r="AK64" s="2827"/>
      <c r="AL64" s="2796"/>
      <c r="AM64" s="2827"/>
      <c r="AN64" s="2796"/>
      <c r="AO64" s="2827"/>
      <c r="AP64" s="2796"/>
      <c r="AQ64" s="2827"/>
      <c r="AR64" s="2796"/>
      <c r="AS64" s="2827"/>
      <c r="AT64" s="2796"/>
      <c r="AU64" s="2827"/>
      <c r="AV64" s="2796"/>
      <c r="AW64" s="2827"/>
      <c r="AX64" s="2796"/>
      <c r="AY64" s="2827"/>
      <c r="AZ64" s="2920"/>
      <c r="BA64" s="2923"/>
      <c r="BB64" s="2923"/>
      <c r="BC64" s="2588"/>
      <c r="BD64" s="2796"/>
      <c r="BE64" s="2149" t="s">
        <v>248</v>
      </c>
      <c r="BF64" s="2847"/>
      <c r="BG64" s="2849"/>
      <c r="BH64" s="2847"/>
      <c r="BI64" s="2849"/>
      <c r="BJ64" s="2864"/>
      <c r="BK64" s="360"/>
      <c r="BL64" s="361"/>
      <c r="BM64" s="360"/>
      <c r="BN64" s="361"/>
      <c r="BO64" s="360"/>
      <c r="BP64" s="361"/>
      <c r="BQ64" s="360"/>
      <c r="BR64" s="361"/>
      <c r="BS64" s="360"/>
      <c r="BT64" s="361"/>
      <c r="BU64" s="360"/>
      <c r="BV64" s="361"/>
    </row>
    <row r="65" spans="1:74" ht="83.25" customHeight="1" x14ac:dyDescent="0.2">
      <c r="A65" s="1314"/>
      <c r="B65" s="283"/>
      <c r="C65" s="283"/>
      <c r="D65" s="334"/>
      <c r="E65" s="283"/>
      <c r="F65" s="283"/>
      <c r="G65" s="334"/>
      <c r="H65" s="283"/>
      <c r="I65" s="335"/>
      <c r="J65" s="2796"/>
      <c r="K65" s="2787"/>
      <c r="L65" s="2817"/>
      <c r="M65" s="2825"/>
      <c r="N65" s="2841"/>
      <c r="O65" s="362" t="s">
        <v>246</v>
      </c>
      <c r="P65" s="2817"/>
      <c r="Q65" s="2869"/>
      <c r="R65" s="2844"/>
      <c r="S65" s="2876"/>
      <c r="T65" s="2869"/>
      <c r="U65" s="2147" t="s">
        <v>249</v>
      </c>
      <c r="V65" s="2146" t="s">
        <v>250</v>
      </c>
      <c r="W65" s="2162">
        <v>120000000</v>
      </c>
      <c r="X65" s="321">
        <v>0</v>
      </c>
      <c r="Y65" s="321">
        <f t="shared" si="0"/>
        <v>0</v>
      </c>
      <c r="Z65" s="2825"/>
      <c r="AA65" s="2917" t="s">
        <v>251</v>
      </c>
      <c r="AB65" s="2796"/>
      <c r="AC65" s="2827"/>
      <c r="AD65" s="2796"/>
      <c r="AE65" s="2827"/>
      <c r="AF65" s="2796"/>
      <c r="AG65" s="2827"/>
      <c r="AH65" s="2796"/>
      <c r="AI65" s="2827"/>
      <c r="AJ65" s="2796"/>
      <c r="AK65" s="2827"/>
      <c r="AL65" s="2796"/>
      <c r="AM65" s="2827"/>
      <c r="AN65" s="2796"/>
      <c r="AO65" s="2827"/>
      <c r="AP65" s="2796"/>
      <c r="AQ65" s="2827"/>
      <c r="AR65" s="2796"/>
      <c r="AS65" s="2827"/>
      <c r="AT65" s="2796"/>
      <c r="AU65" s="2827"/>
      <c r="AV65" s="2796"/>
      <c r="AW65" s="2827"/>
      <c r="AX65" s="2796"/>
      <c r="AY65" s="2827"/>
      <c r="AZ65" s="2920"/>
      <c r="BA65" s="2923"/>
      <c r="BB65" s="2923"/>
      <c r="BC65" s="2588"/>
      <c r="BD65" s="2796"/>
      <c r="BE65" s="2149"/>
      <c r="BF65" s="2847"/>
      <c r="BG65" s="2849"/>
      <c r="BH65" s="2847"/>
      <c r="BI65" s="2849"/>
      <c r="BJ65" s="2864"/>
      <c r="BK65" s="360"/>
      <c r="BL65" s="361"/>
      <c r="BM65" s="360"/>
      <c r="BN65" s="361"/>
      <c r="BO65" s="360"/>
      <c r="BP65" s="361"/>
      <c r="BQ65" s="360"/>
      <c r="BR65" s="361"/>
      <c r="BS65" s="360"/>
      <c r="BT65" s="361"/>
      <c r="BU65" s="360"/>
      <c r="BV65" s="361"/>
    </row>
    <row r="66" spans="1:74" ht="60" customHeight="1" x14ac:dyDescent="0.2">
      <c r="A66" s="1314"/>
      <c r="B66" s="283"/>
      <c r="C66" s="283"/>
      <c r="D66" s="334"/>
      <c r="E66" s="283"/>
      <c r="F66" s="283"/>
      <c r="G66" s="334"/>
      <c r="H66" s="283"/>
      <c r="I66" s="335"/>
      <c r="J66" s="2797"/>
      <c r="K66" s="2788"/>
      <c r="L66" s="2909"/>
      <c r="M66" s="2868"/>
      <c r="N66" s="2842"/>
      <c r="O66" s="1339"/>
      <c r="P66" s="2909"/>
      <c r="Q66" s="2910"/>
      <c r="R66" s="2845"/>
      <c r="S66" s="2877"/>
      <c r="T66" s="2910"/>
      <c r="U66" s="2123" t="s">
        <v>252</v>
      </c>
      <c r="V66" s="2123" t="s">
        <v>253</v>
      </c>
      <c r="W66" s="320">
        <v>14800000</v>
      </c>
      <c r="X66" s="321">
        <v>14800000</v>
      </c>
      <c r="Y66" s="321">
        <f t="shared" si="0"/>
        <v>14800000</v>
      </c>
      <c r="Z66" s="2868"/>
      <c r="AA66" s="2918"/>
      <c r="AB66" s="2797"/>
      <c r="AC66" s="2862"/>
      <c r="AD66" s="2797"/>
      <c r="AE66" s="2862"/>
      <c r="AF66" s="2797"/>
      <c r="AG66" s="2862"/>
      <c r="AH66" s="2797"/>
      <c r="AI66" s="2862"/>
      <c r="AJ66" s="2797"/>
      <c r="AK66" s="2862"/>
      <c r="AL66" s="2797"/>
      <c r="AM66" s="2862"/>
      <c r="AN66" s="2797"/>
      <c r="AO66" s="2862"/>
      <c r="AP66" s="2797"/>
      <c r="AQ66" s="2862"/>
      <c r="AR66" s="2797"/>
      <c r="AS66" s="2862"/>
      <c r="AT66" s="2797"/>
      <c r="AU66" s="2862"/>
      <c r="AV66" s="2797"/>
      <c r="AW66" s="2862"/>
      <c r="AX66" s="2797"/>
      <c r="AY66" s="2862"/>
      <c r="AZ66" s="2921"/>
      <c r="BA66" s="2924"/>
      <c r="BB66" s="2924"/>
      <c r="BC66" s="2589"/>
      <c r="BD66" s="2797"/>
      <c r="BE66" s="2154"/>
      <c r="BF66" s="2866"/>
      <c r="BG66" s="2867"/>
      <c r="BH66" s="2866"/>
      <c r="BI66" s="2867"/>
      <c r="BJ66" s="2865"/>
      <c r="BK66" s="360"/>
      <c r="BL66" s="361"/>
      <c r="BM66" s="360"/>
      <c r="BN66" s="361"/>
      <c r="BO66" s="360"/>
      <c r="BP66" s="361"/>
      <c r="BQ66" s="360"/>
      <c r="BR66" s="361"/>
      <c r="BS66" s="360"/>
      <c r="BT66" s="361"/>
      <c r="BU66" s="360"/>
      <c r="BV66" s="361"/>
    </row>
    <row r="67" spans="1:74" ht="149.25" customHeight="1" x14ac:dyDescent="0.2">
      <c r="A67" s="1314"/>
      <c r="B67" s="283"/>
      <c r="C67" s="283"/>
      <c r="D67" s="334"/>
      <c r="E67" s="283"/>
      <c r="F67" s="283"/>
      <c r="G67" s="334"/>
      <c r="H67" s="283"/>
      <c r="I67" s="335"/>
      <c r="J67" s="2915">
        <v>266</v>
      </c>
      <c r="K67" s="2682" t="s">
        <v>254</v>
      </c>
      <c r="L67" s="2916" t="s">
        <v>146</v>
      </c>
      <c r="M67" s="2916">
        <v>1</v>
      </c>
      <c r="N67" s="2840">
        <v>1</v>
      </c>
      <c r="O67" s="1335" t="s">
        <v>255</v>
      </c>
      <c r="P67" s="2909">
        <v>13</v>
      </c>
      <c r="Q67" s="2910" t="s">
        <v>256</v>
      </c>
      <c r="R67" s="2933">
        <v>100</v>
      </c>
      <c r="S67" s="2830">
        <v>16000000</v>
      </c>
      <c r="T67" s="2910" t="s">
        <v>257</v>
      </c>
      <c r="U67" s="2123" t="s">
        <v>258</v>
      </c>
      <c r="V67" s="2123" t="s">
        <v>259</v>
      </c>
      <c r="W67" s="320">
        <v>11200000</v>
      </c>
      <c r="X67" s="321">
        <v>11200000</v>
      </c>
      <c r="Y67" s="321">
        <f t="shared" si="0"/>
        <v>11200000</v>
      </c>
      <c r="Z67" s="2150">
        <v>20</v>
      </c>
      <c r="AA67" s="2119" t="s">
        <v>130</v>
      </c>
      <c r="AB67" s="2925"/>
      <c r="AC67" s="2927"/>
      <c r="AD67" s="2925"/>
      <c r="AE67" s="2927"/>
      <c r="AF67" s="2925"/>
      <c r="AG67" s="2927"/>
      <c r="AH67" s="2929">
        <v>50</v>
      </c>
      <c r="AI67" s="2931">
        <f>AH67</f>
        <v>50</v>
      </c>
      <c r="AJ67" s="2929">
        <v>220</v>
      </c>
      <c r="AK67" s="2931">
        <f>AJ67</f>
        <v>220</v>
      </c>
      <c r="AL67" s="2929">
        <v>49</v>
      </c>
      <c r="AM67" s="2931">
        <f>AL67</f>
        <v>49</v>
      </c>
      <c r="AN67" s="2925"/>
      <c r="AO67" s="2927"/>
      <c r="AP67" s="2929"/>
      <c r="AQ67" s="2931"/>
      <c r="AR67" s="2925"/>
      <c r="AS67" s="2927"/>
      <c r="AT67" s="2925"/>
      <c r="AU67" s="2927"/>
      <c r="AV67" s="2925"/>
      <c r="AW67" s="2927"/>
      <c r="AX67" s="2925"/>
      <c r="AY67" s="2927"/>
      <c r="AZ67" s="2817">
        <v>2</v>
      </c>
      <c r="BA67" s="2858">
        <v>16000000</v>
      </c>
      <c r="BB67" s="2858">
        <v>16000000</v>
      </c>
      <c r="BC67" s="2828">
        <f>BB67/BA67</f>
        <v>1</v>
      </c>
      <c r="BD67" s="2644" t="s">
        <v>131</v>
      </c>
      <c r="BE67" s="2644" t="s">
        <v>132</v>
      </c>
      <c r="BF67" s="2934">
        <v>42597</v>
      </c>
      <c r="BG67" s="2936">
        <v>42598</v>
      </c>
      <c r="BH67" s="2934">
        <v>42735</v>
      </c>
      <c r="BI67" s="2936">
        <v>42729</v>
      </c>
      <c r="BJ67" s="2869" t="s">
        <v>133</v>
      </c>
      <c r="BK67" s="360"/>
      <c r="BL67" s="361"/>
      <c r="BM67" s="360"/>
      <c r="BN67" s="361"/>
      <c r="BO67" s="360"/>
      <c r="BP67" s="361"/>
      <c r="BQ67" s="360"/>
      <c r="BR67" s="361"/>
      <c r="BS67" s="360"/>
      <c r="BT67" s="361"/>
      <c r="BU67" s="360"/>
      <c r="BV67" s="361"/>
    </row>
    <row r="68" spans="1:74" ht="124.5" customHeight="1" x14ac:dyDescent="0.2">
      <c r="A68" s="1314"/>
      <c r="B68" s="283"/>
      <c r="C68" s="283"/>
      <c r="D68" s="334"/>
      <c r="E68" s="283"/>
      <c r="F68" s="283"/>
      <c r="G68" s="334"/>
      <c r="H68" s="283"/>
      <c r="I68" s="335"/>
      <c r="J68" s="2915"/>
      <c r="K68" s="2682"/>
      <c r="L68" s="2916"/>
      <c r="M68" s="2916"/>
      <c r="N68" s="2842"/>
      <c r="O68" s="1339" t="s">
        <v>260</v>
      </c>
      <c r="P68" s="2909"/>
      <c r="Q68" s="2910"/>
      <c r="R68" s="2933"/>
      <c r="S68" s="2850"/>
      <c r="T68" s="2910"/>
      <c r="U68" s="2123" t="s">
        <v>261</v>
      </c>
      <c r="V68" s="2123" t="s">
        <v>262</v>
      </c>
      <c r="W68" s="320">
        <v>4800000</v>
      </c>
      <c r="X68" s="321">
        <f>W68</f>
        <v>4800000</v>
      </c>
      <c r="Y68" s="321">
        <f t="shared" si="0"/>
        <v>4800000</v>
      </c>
      <c r="Z68" s="2152">
        <v>88</v>
      </c>
      <c r="AA68" s="2121" t="s">
        <v>251</v>
      </c>
      <c r="AB68" s="2926"/>
      <c r="AC68" s="2928"/>
      <c r="AD68" s="2926"/>
      <c r="AE68" s="2928"/>
      <c r="AF68" s="2926"/>
      <c r="AG68" s="2928"/>
      <c r="AH68" s="2930"/>
      <c r="AI68" s="2932"/>
      <c r="AJ68" s="2930"/>
      <c r="AK68" s="2932"/>
      <c r="AL68" s="2930"/>
      <c r="AM68" s="2932"/>
      <c r="AN68" s="2926"/>
      <c r="AO68" s="2928"/>
      <c r="AP68" s="2930"/>
      <c r="AQ68" s="2932"/>
      <c r="AR68" s="2926"/>
      <c r="AS68" s="2928"/>
      <c r="AT68" s="2926"/>
      <c r="AU68" s="2928"/>
      <c r="AV68" s="2926"/>
      <c r="AW68" s="2928"/>
      <c r="AX68" s="2926"/>
      <c r="AY68" s="2928"/>
      <c r="AZ68" s="2834"/>
      <c r="BA68" s="2860"/>
      <c r="BB68" s="2860"/>
      <c r="BC68" s="2861"/>
      <c r="BD68" s="2646"/>
      <c r="BE68" s="2646"/>
      <c r="BF68" s="2935"/>
      <c r="BG68" s="2937"/>
      <c r="BH68" s="2935"/>
      <c r="BI68" s="2937"/>
      <c r="BJ68" s="2865"/>
    </row>
    <row r="69" spans="1:74" ht="105.75" customHeight="1" x14ac:dyDescent="0.2">
      <c r="A69" s="1314"/>
      <c r="B69" s="283"/>
      <c r="C69" s="283"/>
      <c r="D69" s="334"/>
      <c r="E69" s="283"/>
      <c r="F69" s="283"/>
      <c r="G69" s="334"/>
      <c r="H69" s="283"/>
      <c r="I69" s="335"/>
      <c r="J69" s="1327">
        <v>267</v>
      </c>
      <c r="K69" s="2123" t="s">
        <v>263</v>
      </c>
      <c r="L69" s="2169" t="s">
        <v>146</v>
      </c>
      <c r="M69" s="2168">
        <v>1</v>
      </c>
      <c r="N69" s="2157">
        <v>1</v>
      </c>
      <c r="O69" s="2644" t="s">
        <v>264</v>
      </c>
      <c r="P69" s="2869">
        <v>14</v>
      </c>
      <c r="Q69" s="2869" t="s">
        <v>265</v>
      </c>
      <c r="R69" s="2166">
        <f>+W69/$S$69*100</f>
        <v>12.135922330097088</v>
      </c>
      <c r="S69" s="2830">
        <v>144200000</v>
      </c>
      <c r="T69" s="2786" t="s">
        <v>266</v>
      </c>
      <c r="U69" s="2123" t="s">
        <v>267</v>
      </c>
      <c r="V69" s="2123" t="s">
        <v>268</v>
      </c>
      <c r="W69" s="320">
        <v>17500000</v>
      </c>
      <c r="X69" s="321">
        <v>7230000</v>
      </c>
      <c r="Y69" s="321">
        <f t="shared" si="0"/>
        <v>7230000</v>
      </c>
      <c r="Z69" s="2824">
        <v>88</v>
      </c>
      <c r="AA69" s="2795" t="s">
        <v>251</v>
      </c>
      <c r="AB69" s="2929"/>
      <c r="AC69" s="2931"/>
      <c r="AD69" s="2929"/>
      <c r="AE69" s="2931"/>
      <c r="AF69" s="2929"/>
      <c r="AG69" s="2931"/>
      <c r="AH69" s="2929">
        <v>100</v>
      </c>
      <c r="AI69" s="2931">
        <f>AH69</f>
        <v>100</v>
      </c>
      <c r="AJ69" s="2929">
        <v>250</v>
      </c>
      <c r="AK69" s="2931">
        <f>AJ69</f>
        <v>250</v>
      </c>
      <c r="AL69" s="2929">
        <v>41</v>
      </c>
      <c r="AM69" s="2931">
        <f>AL69</f>
        <v>41</v>
      </c>
      <c r="AN69" s="2824"/>
      <c r="AO69" s="2840"/>
      <c r="AP69" s="2824"/>
      <c r="AQ69" s="2840"/>
      <c r="AR69" s="2824"/>
      <c r="AS69" s="2840"/>
      <c r="AT69" s="2824"/>
      <c r="AU69" s="2840"/>
      <c r="AV69" s="2824"/>
      <c r="AW69" s="2840"/>
      <c r="AX69" s="2824"/>
      <c r="AY69" s="2840"/>
      <c r="AZ69" s="2824">
        <v>9</v>
      </c>
      <c r="BA69" s="2858">
        <f>84796666</f>
        <v>84796666</v>
      </c>
      <c r="BB69" s="2858">
        <v>84796666</v>
      </c>
      <c r="BC69" s="2828">
        <f>BB69/BA69</f>
        <v>1</v>
      </c>
      <c r="BD69" s="2795" t="s">
        <v>269</v>
      </c>
      <c r="BE69" s="2795" t="s">
        <v>270</v>
      </c>
      <c r="BF69" s="2846">
        <v>42597</v>
      </c>
      <c r="BG69" s="2848">
        <v>42599</v>
      </c>
      <c r="BH69" s="2846">
        <v>42735</v>
      </c>
      <c r="BI69" s="2903">
        <v>42734</v>
      </c>
      <c r="BJ69" s="2869" t="s">
        <v>133</v>
      </c>
    </row>
    <row r="70" spans="1:74" ht="173.25" customHeight="1" x14ac:dyDescent="0.2">
      <c r="A70" s="1314"/>
      <c r="B70" s="283"/>
      <c r="C70" s="283"/>
      <c r="D70" s="334"/>
      <c r="E70" s="283"/>
      <c r="F70" s="283"/>
      <c r="G70" s="334"/>
      <c r="H70" s="283"/>
      <c r="I70" s="335"/>
      <c r="J70" s="1328">
        <v>268</v>
      </c>
      <c r="K70" s="2123" t="s">
        <v>271</v>
      </c>
      <c r="L70" s="2169" t="s">
        <v>146</v>
      </c>
      <c r="M70" s="2168">
        <v>12</v>
      </c>
      <c r="N70" s="2405">
        <v>12</v>
      </c>
      <c r="O70" s="2645"/>
      <c r="P70" s="2864"/>
      <c r="Q70" s="2864"/>
      <c r="R70" s="2166">
        <f t="shared" ref="R70:R78" si="1">+W70/$S$69*100</f>
        <v>12.949029126213594</v>
      </c>
      <c r="S70" s="2831"/>
      <c r="T70" s="2787"/>
      <c r="U70" s="2786" t="s">
        <v>272</v>
      </c>
      <c r="V70" s="2146" t="s">
        <v>273</v>
      </c>
      <c r="W70" s="320">
        <v>18672500</v>
      </c>
      <c r="X70" s="321">
        <v>11200000</v>
      </c>
      <c r="Y70" s="321">
        <f t="shared" si="0"/>
        <v>11200000</v>
      </c>
      <c r="Z70" s="2825"/>
      <c r="AA70" s="2796"/>
      <c r="AB70" s="2938"/>
      <c r="AC70" s="2939"/>
      <c r="AD70" s="2938"/>
      <c r="AE70" s="2939"/>
      <c r="AF70" s="2938"/>
      <c r="AG70" s="2939"/>
      <c r="AH70" s="2938"/>
      <c r="AI70" s="2939"/>
      <c r="AJ70" s="2938"/>
      <c r="AK70" s="2939"/>
      <c r="AL70" s="2938"/>
      <c r="AM70" s="2939"/>
      <c r="AN70" s="2825"/>
      <c r="AO70" s="2841"/>
      <c r="AP70" s="2825"/>
      <c r="AQ70" s="2841"/>
      <c r="AR70" s="2825"/>
      <c r="AS70" s="2841"/>
      <c r="AT70" s="2825"/>
      <c r="AU70" s="2841"/>
      <c r="AV70" s="2825"/>
      <c r="AW70" s="2841"/>
      <c r="AX70" s="2825"/>
      <c r="AY70" s="2841"/>
      <c r="AZ70" s="2825"/>
      <c r="BA70" s="2859"/>
      <c r="BB70" s="2859"/>
      <c r="BC70" s="2829"/>
      <c r="BD70" s="2796"/>
      <c r="BE70" s="2796"/>
      <c r="BF70" s="2847"/>
      <c r="BG70" s="2849"/>
      <c r="BH70" s="2847"/>
      <c r="BI70" s="2904"/>
      <c r="BJ70" s="2864"/>
    </row>
    <row r="71" spans="1:74" ht="170.25" customHeight="1" x14ac:dyDescent="0.2">
      <c r="A71" s="1314"/>
      <c r="B71" s="283"/>
      <c r="C71" s="283"/>
      <c r="D71" s="334"/>
      <c r="E71" s="283"/>
      <c r="F71" s="283"/>
      <c r="G71" s="334"/>
      <c r="H71" s="283"/>
      <c r="I71" s="335"/>
      <c r="J71" s="1328">
        <v>269</v>
      </c>
      <c r="K71" s="2123" t="s">
        <v>274</v>
      </c>
      <c r="L71" s="2169" t="s">
        <v>146</v>
      </c>
      <c r="M71" s="2168">
        <v>12</v>
      </c>
      <c r="N71" s="2405">
        <v>12</v>
      </c>
      <c r="O71" s="2645"/>
      <c r="P71" s="2864"/>
      <c r="Q71" s="2864"/>
      <c r="R71" s="2166">
        <f t="shared" si="1"/>
        <v>10.521844660194175</v>
      </c>
      <c r="S71" s="2831"/>
      <c r="T71" s="2787"/>
      <c r="U71" s="2787"/>
      <c r="V71" s="2146" t="s">
        <v>275</v>
      </c>
      <c r="W71" s="320">
        <v>15172500</v>
      </c>
      <c r="X71" s="321">
        <v>12800000</v>
      </c>
      <c r="Y71" s="321">
        <f t="shared" si="0"/>
        <v>12800000</v>
      </c>
      <c r="Z71" s="2825"/>
      <c r="AA71" s="2796"/>
      <c r="AB71" s="2938"/>
      <c r="AC71" s="2939"/>
      <c r="AD71" s="2938"/>
      <c r="AE71" s="2939"/>
      <c r="AF71" s="2938"/>
      <c r="AG71" s="2939"/>
      <c r="AH71" s="2938"/>
      <c r="AI71" s="2939"/>
      <c r="AJ71" s="2938"/>
      <c r="AK71" s="2939"/>
      <c r="AL71" s="2938"/>
      <c r="AM71" s="2939"/>
      <c r="AN71" s="2825"/>
      <c r="AO71" s="2841"/>
      <c r="AP71" s="2825"/>
      <c r="AQ71" s="2841"/>
      <c r="AR71" s="2825"/>
      <c r="AS71" s="2841"/>
      <c r="AT71" s="2825"/>
      <c r="AU71" s="2841"/>
      <c r="AV71" s="2825"/>
      <c r="AW71" s="2841"/>
      <c r="AX71" s="2825"/>
      <c r="AY71" s="2841"/>
      <c r="AZ71" s="2825"/>
      <c r="BA71" s="2859"/>
      <c r="BB71" s="2859"/>
      <c r="BC71" s="2829"/>
      <c r="BD71" s="2796"/>
      <c r="BE71" s="2796"/>
      <c r="BF71" s="2847"/>
      <c r="BG71" s="2849"/>
      <c r="BH71" s="2847"/>
      <c r="BI71" s="2904"/>
      <c r="BJ71" s="2864"/>
    </row>
    <row r="72" spans="1:74" ht="186.75" customHeight="1" x14ac:dyDescent="0.2">
      <c r="A72" s="1314"/>
      <c r="B72" s="283"/>
      <c r="C72" s="283"/>
      <c r="D72" s="334"/>
      <c r="E72" s="283"/>
      <c r="F72" s="283"/>
      <c r="G72" s="334"/>
      <c r="H72" s="283"/>
      <c r="I72" s="335"/>
      <c r="J72" s="1328">
        <v>270</v>
      </c>
      <c r="K72" s="2123" t="s">
        <v>276</v>
      </c>
      <c r="L72" s="2169" t="s">
        <v>146</v>
      </c>
      <c r="M72" s="2168">
        <v>12</v>
      </c>
      <c r="N72" s="2159">
        <v>12</v>
      </c>
      <c r="O72" s="2645"/>
      <c r="P72" s="2864"/>
      <c r="Q72" s="2864"/>
      <c r="R72" s="2166">
        <f t="shared" si="1"/>
        <v>10.521844660194175</v>
      </c>
      <c r="S72" s="2831"/>
      <c r="T72" s="2787"/>
      <c r="U72" s="2787"/>
      <c r="V72" s="2146" t="s">
        <v>277</v>
      </c>
      <c r="W72" s="320">
        <v>15172500</v>
      </c>
      <c r="X72" s="321">
        <v>10000000</v>
      </c>
      <c r="Y72" s="321">
        <f t="shared" si="0"/>
        <v>10000000</v>
      </c>
      <c r="Z72" s="2825"/>
      <c r="AA72" s="2796"/>
      <c r="AB72" s="2938"/>
      <c r="AC72" s="2939"/>
      <c r="AD72" s="2938"/>
      <c r="AE72" s="2939"/>
      <c r="AF72" s="2938"/>
      <c r="AG72" s="2939"/>
      <c r="AH72" s="2938"/>
      <c r="AI72" s="2939"/>
      <c r="AJ72" s="2938"/>
      <c r="AK72" s="2939"/>
      <c r="AL72" s="2938"/>
      <c r="AM72" s="2939"/>
      <c r="AN72" s="2825"/>
      <c r="AO72" s="2841"/>
      <c r="AP72" s="2825"/>
      <c r="AQ72" s="2841"/>
      <c r="AR72" s="2825"/>
      <c r="AS72" s="2841"/>
      <c r="AT72" s="2825"/>
      <c r="AU72" s="2841"/>
      <c r="AV72" s="2825"/>
      <c r="AW72" s="2841"/>
      <c r="AX72" s="2825"/>
      <c r="AY72" s="2841"/>
      <c r="AZ72" s="2825"/>
      <c r="BA72" s="2859"/>
      <c r="BB72" s="2859"/>
      <c r="BC72" s="2829"/>
      <c r="BD72" s="2796"/>
      <c r="BE72" s="2796" t="s">
        <v>278</v>
      </c>
      <c r="BF72" s="2847"/>
      <c r="BG72" s="2849"/>
      <c r="BH72" s="2847"/>
      <c r="BI72" s="2904"/>
      <c r="BJ72" s="2864"/>
    </row>
    <row r="73" spans="1:74" s="130" customFormat="1" ht="129" customHeight="1" x14ac:dyDescent="0.2">
      <c r="A73" s="1321"/>
      <c r="B73" s="356"/>
      <c r="C73" s="356"/>
      <c r="D73" s="1325"/>
      <c r="E73" s="356"/>
      <c r="F73" s="356"/>
      <c r="G73" s="1325"/>
      <c r="H73" s="356"/>
      <c r="I73" s="1322"/>
      <c r="J73" s="2945">
        <v>271</v>
      </c>
      <c r="K73" s="2666" t="s">
        <v>279</v>
      </c>
      <c r="L73" s="2819" t="s">
        <v>146</v>
      </c>
      <c r="M73" s="2892">
        <v>12</v>
      </c>
      <c r="N73" s="2898">
        <v>12</v>
      </c>
      <c r="O73" s="2645"/>
      <c r="P73" s="2864"/>
      <c r="Q73" s="2864"/>
      <c r="R73" s="2166">
        <f t="shared" si="1"/>
        <v>11.090499306518725</v>
      </c>
      <c r="S73" s="2831"/>
      <c r="T73" s="2787"/>
      <c r="U73" s="2787"/>
      <c r="V73" s="2124" t="s">
        <v>280</v>
      </c>
      <c r="W73" s="320">
        <v>15992500</v>
      </c>
      <c r="X73" s="357">
        <v>12800000</v>
      </c>
      <c r="Y73" s="357">
        <f t="shared" si="0"/>
        <v>12800000</v>
      </c>
      <c r="Z73" s="2825"/>
      <c r="AA73" s="2796"/>
      <c r="AB73" s="2938"/>
      <c r="AC73" s="2939"/>
      <c r="AD73" s="2938"/>
      <c r="AE73" s="2939"/>
      <c r="AF73" s="2938"/>
      <c r="AG73" s="2939"/>
      <c r="AH73" s="2938"/>
      <c r="AI73" s="2939"/>
      <c r="AJ73" s="2938"/>
      <c r="AK73" s="2939"/>
      <c r="AL73" s="2938"/>
      <c r="AM73" s="2939"/>
      <c r="AN73" s="2825"/>
      <c r="AO73" s="2841"/>
      <c r="AP73" s="2825"/>
      <c r="AQ73" s="2841"/>
      <c r="AR73" s="2825"/>
      <c r="AS73" s="2841"/>
      <c r="AT73" s="2825"/>
      <c r="AU73" s="2841"/>
      <c r="AV73" s="2825"/>
      <c r="AW73" s="2841"/>
      <c r="AX73" s="2825"/>
      <c r="AY73" s="2841"/>
      <c r="AZ73" s="2825"/>
      <c r="BA73" s="2859"/>
      <c r="BB73" s="2859"/>
      <c r="BC73" s="2829"/>
      <c r="BD73" s="2796"/>
      <c r="BE73" s="2796"/>
      <c r="BF73" s="2847"/>
      <c r="BG73" s="2849"/>
      <c r="BH73" s="2847"/>
      <c r="BI73" s="2904"/>
      <c r="BJ73" s="2864"/>
    </row>
    <row r="74" spans="1:74" s="130" customFormat="1" ht="145.5" customHeight="1" x14ac:dyDescent="0.2">
      <c r="A74" s="1321"/>
      <c r="B74" s="356"/>
      <c r="C74" s="356"/>
      <c r="D74" s="1325"/>
      <c r="E74" s="356"/>
      <c r="F74" s="356"/>
      <c r="G74" s="1325"/>
      <c r="H74" s="356"/>
      <c r="I74" s="1322"/>
      <c r="J74" s="2946"/>
      <c r="K74" s="2668"/>
      <c r="L74" s="2881"/>
      <c r="M74" s="2894"/>
      <c r="N74" s="2891"/>
      <c r="O74" s="2645"/>
      <c r="P74" s="2864"/>
      <c r="Q74" s="2864"/>
      <c r="R74" s="2166">
        <f t="shared" si="1"/>
        <v>8.6685159500693487</v>
      </c>
      <c r="S74" s="2831"/>
      <c r="T74" s="2787"/>
      <c r="U74" s="2787"/>
      <c r="V74" s="2124" t="s">
        <v>281</v>
      </c>
      <c r="W74" s="320">
        <v>12500000</v>
      </c>
      <c r="X74" s="357">
        <v>7600000</v>
      </c>
      <c r="Y74" s="357">
        <f t="shared" si="0"/>
        <v>7600000</v>
      </c>
      <c r="Z74" s="2825"/>
      <c r="AA74" s="2796"/>
      <c r="AB74" s="2938"/>
      <c r="AC74" s="2939"/>
      <c r="AD74" s="2938"/>
      <c r="AE74" s="2939"/>
      <c r="AF74" s="2938"/>
      <c r="AG74" s="2939"/>
      <c r="AH74" s="2938"/>
      <c r="AI74" s="2939"/>
      <c r="AJ74" s="2938"/>
      <c r="AK74" s="2939"/>
      <c r="AL74" s="2938"/>
      <c r="AM74" s="2939"/>
      <c r="AN74" s="2825"/>
      <c r="AO74" s="2841"/>
      <c r="AP74" s="2825"/>
      <c r="AQ74" s="2841"/>
      <c r="AR74" s="2825"/>
      <c r="AS74" s="2841"/>
      <c r="AT74" s="2825"/>
      <c r="AU74" s="2841"/>
      <c r="AV74" s="2825"/>
      <c r="AW74" s="2841"/>
      <c r="AX74" s="2825"/>
      <c r="AY74" s="2841"/>
      <c r="AZ74" s="2825"/>
      <c r="BA74" s="2859"/>
      <c r="BB74" s="2859"/>
      <c r="BC74" s="2829"/>
      <c r="BD74" s="2796"/>
      <c r="BE74" s="2796"/>
      <c r="BF74" s="2847"/>
      <c r="BG74" s="2849"/>
      <c r="BH74" s="2847"/>
      <c r="BI74" s="2904"/>
      <c r="BJ74" s="2864"/>
    </row>
    <row r="75" spans="1:74" ht="159.75" customHeight="1" x14ac:dyDescent="0.2">
      <c r="A75" s="1314"/>
      <c r="B75" s="283"/>
      <c r="C75" s="283"/>
      <c r="D75" s="334"/>
      <c r="E75" s="283"/>
      <c r="F75" s="283"/>
      <c r="G75" s="334"/>
      <c r="H75" s="283"/>
      <c r="I75" s="335"/>
      <c r="J75" s="1328">
        <v>272</v>
      </c>
      <c r="K75" s="2123" t="s">
        <v>282</v>
      </c>
      <c r="L75" s="2169" t="s">
        <v>146</v>
      </c>
      <c r="M75" s="2168">
        <v>12</v>
      </c>
      <c r="N75" s="2158">
        <v>12</v>
      </c>
      <c r="O75" s="2645"/>
      <c r="P75" s="2864"/>
      <c r="Q75" s="2864"/>
      <c r="R75" s="2166">
        <f t="shared" si="1"/>
        <v>10.521844660194175</v>
      </c>
      <c r="S75" s="2831"/>
      <c r="T75" s="2787"/>
      <c r="U75" s="2787"/>
      <c r="V75" s="2146" t="s">
        <v>283</v>
      </c>
      <c r="W75" s="2164">
        <v>15172500</v>
      </c>
      <c r="X75" s="321">
        <v>14000000</v>
      </c>
      <c r="Y75" s="321">
        <f t="shared" si="0"/>
        <v>14000000</v>
      </c>
      <c r="Z75" s="2825"/>
      <c r="AA75" s="2796"/>
      <c r="AB75" s="2938"/>
      <c r="AC75" s="2939"/>
      <c r="AD75" s="2938"/>
      <c r="AE75" s="2939"/>
      <c r="AF75" s="2938"/>
      <c r="AG75" s="2939"/>
      <c r="AH75" s="2938"/>
      <c r="AI75" s="2939"/>
      <c r="AJ75" s="2938"/>
      <c r="AK75" s="2939"/>
      <c r="AL75" s="2938"/>
      <c r="AM75" s="2939"/>
      <c r="AN75" s="2825"/>
      <c r="AO75" s="2841"/>
      <c r="AP75" s="2825"/>
      <c r="AQ75" s="2841"/>
      <c r="AR75" s="2825"/>
      <c r="AS75" s="2841"/>
      <c r="AT75" s="2825"/>
      <c r="AU75" s="2841"/>
      <c r="AV75" s="2825"/>
      <c r="AW75" s="2841"/>
      <c r="AX75" s="2825"/>
      <c r="AY75" s="2841"/>
      <c r="AZ75" s="2825"/>
      <c r="BA75" s="2859"/>
      <c r="BB75" s="2859"/>
      <c r="BC75" s="2829"/>
      <c r="BD75" s="2796"/>
      <c r="BE75" s="2796"/>
      <c r="BF75" s="2847"/>
      <c r="BG75" s="2849"/>
      <c r="BH75" s="2847"/>
      <c r="BI75" s="2904"/>
      <c r="BJ75" s="2864"/>
    </row>
    <row r="76" spans="1:74" ht="158.25" customHeight="1" x14ac:dyDescent="0.2">
      <c r="A76" s="1314"/>
      <c r="B76" s="283"/>
      <c r="C76" s="283"/>
      <c r="D76" s="334"/>
      <c r="E76" s="283"/>
      <c r="F76" s="283"/>
      <c r="G76" s="334"/>
      <c r="H76" s="283"/>
      <c r="I76" s="335"/>
      <c r="J76" s="1328">
        <v>273</v>
      </c>
      <c r="K76" s="2123" t="s">
        <v>284</v>
      </c>
      <c r="L76" s="2169" t="s">
        <v>146</v>
      </c>
      <c r="M76" s="2168">
        <v>12</v>
      </c>
      <c r="N76" s="2405">
        <v>12</v>
      </c>
      <c r="O76" s="2645"/>
      <c r="P76" s="2864"/>
      <c r="Q76" s="2864"/>
      <c r="R76" s="2166">
        <f t="shared" si="1"/>
        <v>1.8533287101248266</v>
      </c>
      <c r="S76" s="2831"/>
      <c r="T76" s="2787"/>
      <c r="U76" s="2787"/>
      <c r="V76" s="2146" t="s">
        <v>285</v>
      </c>
      <c r="W76" s="2164">
        <v>2672500</v>
      </c>
      <c r="X76" s="321">
        <v>0</v>
      </c>
      <c r="Y76" s="321">
        <v>0</v>
      </c>
      <c r="Z76" s="2825"/>
      <c r="AA76" s="2796"/>
      <c r="AB76" s="2938"/>
      <c r="AC76" s="2939"/>
      <c r="AD76" s="2938"/>
      <c r="AE76" s="2939"/>
      <c r="AF76" s="2938"/>
      <c r="AG76" s="2939"/>
      <c r="AH76" s="2938"/>
      <c r="AI76" s="2939"/>
      <c r="AJ76" s="2938"/>
      <c r="AK76" s="2939"/>
      <c r="AL76" s="2938"/>
      <c r="AM76" s="2939"/>
      <c r="AN76" s="2825"/>
      <c r="AO76" s="2841"/>
      <c r="AP76" s="2825"/>
      <c r="AQ76" s="2841"/>
      <c r="AR76" s="2825"/>
      <c r="AS76" s="2841"/>
      <c r="AT76" s="2825"/>
      <c r="AU76" s="2841"/>
      <c r="AV76" s="2825"/>
      <c r="AW76" s="2841"/>
      <c r="AX76" s="2825"/>
      <c r="AY76" s="2841"/>
      <c r="AZ76" s="2825"/>
      <c r="BA76" s="2859"/>
      <c r="BB76" s="2859"/>
      <c r="BC76" s="2829"/>
      <c r="BD76" s="2796"/>
      <c r="BE76" s="2151"/>
      <c r="BF76" s="2847"/>
      <c r="BG76" s="2849"/>
      <c r="BH76" s="2847"/>
      <c r="BI76" s="2904"/>
      <c r="BJ76" s="2864"/>
    </row>
    <row r="77" spans="1:74" ht="108.75" customHeight="1" x14ac:dyDescent="0.2">
      <c r="A77" s="1314"/>
      <c r="B77" s="283"/>
      <c r="C77" s="283"/>
      <c r="D77" s="334"/>
      <c r="E77" s="283"/>
      <c r="F77" s="283"/>
      <c r="G77" s="334"/>
      <c r="H77" s="283"/>
      <c r="I77" s="335"/>
      <c r="J77" s="1328">
        <v>274</v>
      </c>
      <c r="K77" s="2123" t="s">
        <v>286</v>
      </c>
      <c r="L77" s="2169" t="s">
        <v>146</v>
      </c>
      <c r="M77" s="2168">
        <v>12</v>
      </c>
      <c r="N77" s="2405">
        <v>12</v>
      </c>
      <c r="O77" s="2645"/>
      <c r="P77" s="2864"/>
      <c r="Q77" s="2864"/>
      <c r="R77" s="2166">
        <f t="shared" si="1"/>
        <v>8.7881414701803049</v>
      </c>
      <c r="S77" s="2831"/>
      <c r="T77" s="2787"/>
      <c r="U77" s="2787"/>
      <c r="V77" s="2146" t="s">
        <v>287</v>
      </c>
      <c r="W77" s="320">
        <v>12672500</v>
      </c>
      <c r="X77" s="321">
        <v>9166666</v>
      </c>
      <c r="Y77" s="321">
        <f>X77</f>
        <v>9166666</v>
      </c>
      <c r="Z77" s="2825"/>
      <c r="AA77" s="2796"/>
      <c r="AB77" s="2938"/>
      <c r="AC77" s="2939"/>
      <c r="AD77" s="2938"/>
      <c r="AE77" s="2939"/>
      <c r="AF77" s="2938"/>
      <c r="AG77" s="2939"/>
      <c r="AH77" s="2938"/>
      <c r="AI77" s="2939"/>
      <c r="AJ77" s="2938"/>
      <c r="AK77" s="2939"/>
      <c r="AL77" s="2938"/>
      <c r="AM77" s="2939"/>
      <c r="AN77" s="2825"/>
      <c r="AO77" s="2841"/>
      <c r="AP77" s="2825"/>
      <c r="AQ77" s="2841"/>
      <c r="AR77" s="2825"/>
      <c r="AS77" s="2841"/>
      <c r="AT77" s="2825"/>
      <c r="AU77" s="2841"/>
      <c r="AV77" s="2825"/>
      <c r="AW77" s="2841"/>
      <c r="AX77" s="2825"/>
      <c r="AY77" s="2841"/>
      <c r="AZ77" s="2825"/>
      <c r="BA77" s="2859"/>
      <c r="BB77" s="2859"/>
      <c r="BC77" s="2829"/>
      <c r="BD77" s="2796"/>
      <c r="BE77" s="2149" t="s">
        <v>288</v>
      </c>
      <c r="BF77" s="2847"/>
      <c r="BG77" s="2849"/>
      <c r="BH77" s="2847"/>
      <c r="BI77" s="2904"/>
      <c r="BJ77" s="2864"/>
    </row>
    <row r="78" spans="1:74" ht="135.75" customHeight="1" x14ac:dyDescent="0.2">
      <c r="A78" s="1316"/>
      <c r="B78" s="263"/>
      <c r="C78" s="263"/>
      <c r="D78" s="1319"/>
      <c r="E78" s="263"/>
      <c r="F78" s="263"/>
      <c r="G78" s="1319"/>
      <c r="H78" s="263"/>
      <c r="I78" s="342"/>
      <c r="J78" s="2167">
        <v>260</v>
      </c>
      <c r="K78" s="2123" t="s">
        <v>289</v>
      </c>
      <c r="L78" s="2169" t="s">
        <v>146</v>
      </c>
      <c r="M78" s="2168">
        <v>12</v>
      </c>
      <c r="N78" s="2405">
        <v>12</v>
      </c>
      <c r="O78" s="2646"/>
      <c r="P78" s="2865"/>
      <c r="Q78" s="2865"/>
      <c r="R78" s="2166">
        <f t="shared" si="1"/>
        <v>12.949029126213594</v>
      </c>
      <c r="S78" s="2850"/>
      <c r="T78" s="2788"/>
      <c r="U78" s="2788"/>
      <c r="V78" s="2123" t="s">
        <v>290</v>
      </c>
      <c r="W78" s="320">
        <v>18672500</v>
      </c>
      <c r="X78" s="321">
        <v>0</v>
      </c>
      <c r="Y78" s="321">
        <v>0</v>
      </c>
      <c r="Z78" s="2868"/>
      <c r="AA78" s="2797"/>
      <c r="AB78" s="2930"/>
      <c r="AC78" s="2932"/>
      <c r="AD78" s="2930"/>
      <c r="AE78" s="2932"/>
      <c r="AF78" s="2930"/>
      <c r="AG78" s="2932"/>
      <c r="AH78" s="2930"/>
      <c r="AI78" s="2932"/>
      <c r="AJ78" s="2930"/>
      <c r="AK78" s="2932"/>
      <c r="AL78" s="2930"/>
      <c r="AM78" s="2932"/>
      <c r="AN78" s="2868"/>
      <c r="AO78" s="2842"/>
      <c r="AP78" s="2868"/>
      <c r="AQ78" s="2842"/>
      <c r="AR78" s="2868"/>
      <c r="AS78" s="2842"/>
      <c r="AT78" s="2868"/>
      <c r="AU78" s="2842"/>
      <c r="AV78" s="2868"/>
      <c r="AW78" s="2842"/>
      <c r="AX78" s="2868"/>
      <c r="AY78" s="2842"/>
      <c r="AZ78" s="2868"/>
      <c r="BA78" s="2860"/>
      <c r="BB78" s="2860"/>
      <c r="BC78" s="2861"/>
      <c r="BD78" s="2797"/>
      <c r="BE78" s="2152"/>
      <c r="BF78" s="2866"/>
      <c r="BG78" s="2867"/>
      <c r="BH78" s="2866"/>
      <c r="BI78" s="2905"/>
      <c r="BJ78" s="2865"/>
    </row>
    <row r="79" spans="1:74" ht="15" thickBot="1" x14ac:dyDescent="0.25">
      <c r="A79" s="311"/>
      <c r="B79" s="283"/>
      <c r="C79" s="283"/>
      <c r="D79" s="283"/>
      <c r="E79" s="283"/>
      <c r="F79" s="283"/>
      <c r="G79" s="283"/>
      <c r="H79" s="283"/>
      <c r="I79" s="283"/>
      <c r="J79" s="364"/>
      <c r="K79" s="365"/>
      <c r="L79" s="366"/>
      <c r="M79" s="367"/>
      <c r="N79" s="368"/>
      <c r="O79" s="2180"/>
      <c r="P79" s="369"/>
      <c r="Q79" s="369"/>
      <c r="R79" s="370"/>
      <c r="S79" s="371"/>
      <c r="T79" s="365"/>
      <c r="U79" s="365"/>
      <c r="V79" s="365"/>
      <c r="W79" s="371"/>
      <c r="X79" s="372"/>
      <c r="Y79" s="372"/>
      <c r="Z79" s="367"/>
      <c r="AA79" s="367"/>
      <c r="AB79" s="373"/>
      <c r="AC79" s="374"/>
      <c r="AD79" s="373"/>
      <c r="AE79" s="374"/>
      <c r="AF79" s="373"/>
      <c r="AG79" s="374"/>
      <c r="AH79" s="373"/>
      <c r="AI79" s="374"/>
      <c r="AJ79" s="373"/>
      <c r="AK79" s="374"/>
      <c r="AL79" s="373"/>
      <c r="AM79" s="374"/>
      <c r="AN79" s="367"/>
      <c r="AO79" s="368"/>
      <c r="AP79" s="367"/>
      <c r="AQ79" s="368"/>
      <c r="AR79" s="367"/>
      <c r="AS79" s="368"/>
      <c r="AT79" s="367"/>
      <c r="AU79" s="368"/>
      <c r="AV79" s="367"/>
      <c r="AW79" s="368"/>
      <c r="AX79" s="367"/>
      <c r="AY79" s="368"/>
      <c r="AZ79" s="367"/>
      <c r="BA79" s="375"/>
      <c r="BB79" s="375"/>
      <c r="BC79" s="367"/>
      <c r="BD79" s="367"/>
      <c r="BE79" s="367"/>
      <c r="BF79" s="376"/>
      <c r="BG79" s="377"/>
      <c r="BH79" s="376"/>
      <c r="BI79" s="377"/>
      <c r="BJ79" s="378"/>
    </row>
    <row r="80" spans="1:74" s="393" customFormat="1" ht="22.5" customHeight="1" thickBot="1" x14ac:dyDescent="0.3">
      <c r="A80" s="2940" t="s">
        <v>291</v>
      </c>
      <c r="B80" s="2941"/>
      <c r="C80" s="2941"/>
      <c r="D80" s="2941"/>
      <c r="E80" s="2941"/>
      <c r="F80" s="2941"/>
      <c r="G80" s="2941"/>
      <c r="H80" s="2941"/>
      <c r="I80" s="2941"/>
      <c r="J80" s="2941"/>
      <c r="K80" s="2941"/>
      <c r="L80" s="2941"/>
      <c r="M80" s="2941"/>
      <c r="N80" s="2941"/>
      <c r="O80" s="2941"/>
      <c r="P80" s="2941"/>
      <c r="Q80" s="2941"/>
      <c r="R80" s="2942"/>
      <c r="S80" s="121">
        <f>SUM(S12:S78)</f>
        <v>1235000000</v>
      </c>
      <c r="T80" s="379"/>
      <c r="U80" s="131"/>
      <c r="V80" s="380"/>
      <c r="W80" s="121">
        <f>SUM(W12:W78)</f>
        <v>1235000000</v>
      </c>
      <c r="X80" s="381">
        <f>SUM(X12:X78)</f>
        <v>782331937</v>
      </c>
      <c r="Y80" s="381">
        <f>SUM(Y12:Y78)</f>
        <v>707341937</v>
      </c>
      <c r="Z80" s="382"/>
      <c r="AA80" s="383"/>
      <c r="AB80" s="384"/>
      <c r="AC80" s="385"/>
      <c r="AD80" s="384"/>
      <c r="AE80" s="385"/>
      <c r="AF80" s="384"/>
      <c r="AG80" s="385"/>
      <c r="AH80" s="384"/>
      <c r="AI80" s="385"/>
      <c r="AJ80" s="384"/>
      <c r="AK80" s="385"/>
      <c r="AL80" s="384"/>
      <c r="AM80" s="385"/>
      <c r="AN80" s="384"/>
      <c r="AO80" s="385"/>
      <c r="AP80" s="384"/>
      <c r="AQ80" s="385"/>
      <c r="AR80" s="384"/>
      <c r="AS80" s="385"/>
      <c r="AT80" s="384"/>
      <c r="AU80" s="385"/>
      <c r="AV80" s="384"/>
      <c r="AW80" s="385"/>
      <c r="AX80" s="384"/>
      <c r="AY80" s="385"/>
      <c r="AZ80" s="386">
        <f>SUM(AZ12:AZ78)</f>
        <v>63</v>
      </c>
      <c r="BA80" s="121">
        <f>SUM(BA12:BA78)</f>
        <v>782331937</v>
      </c>
      <c r="BB80" s="121">
        <f>SUM(BB12:BB78)</f>
        <v>707341937</v>
      </c>
      <c r="BC80" s="384"/>
      <c r="BD80" s="384"/>
      <c r="BE80" s="387"/>
      <c r="BF80" s="388"/>
      <c r="BG80" s="389"/>
      <c r="BH80" s="390"/>
      <c r="BI80" s="391"/>
      <c r="BJ80" s="392"/>
    </row>
    <row r="81" spans="2:25" x14ac:dyDescent="0.2">
      <c r="B81" s="2943" t="s">
        <v>197</v>
      </c>
      <c r="C81" s="2943"/>
      <c r="D81" s="2943"/>
      <c r="E81" s="2943"/>
      <c r="F81" s="2943"/>
      <c r="G81" s="2943"/>
      <c r="H81" s="2943"/>
      <c r="I81" s="2943"/>
      <c r="J81" s="2943"/>
    </row>
    <row r="83" spans="2:25" ht="15" x14ac:dyDescent="0.25">
      <c r="V83" s="1903"/>
      <c r="W83" s="1904"/>
      <c r="X83" s="1904"/>
      <c r="Y83" s="1904"/>
    </row>
    <row r="84" spans="2:25" ht="15" x14ac:dyDescent="0.25">
      <c r="D84" s="393"/>
      <c r="E84" s="393"/>
      <c r="F84" s="393"/>
      <c r="G84" s="393"/>
      <c r="H84" s="393"/>
      <c r="I84" s="393"/>
      <c r="V84" s="1903"/>
      <c r="W84" s="1905"/>
      <c r="X84" s="1906"/>
      <c r="Y84" s="1906"/>
    </row>
    <row r="85" spans="2:25" ht="15" x14ac:dyDescent="0.25">
      <c r="D85" s="2944" t="s">
        <v>292</v>
      </c>
      <c r="E85" s="2944"/>
      <c r="F85" s="2944"/>
      <c r="G85" s="2944"/>
      <c r="H85" s="2944"/>
      <c r="I85" s="2944"/>
    </row>
    <row r="86" spans="2:25" ht="15" x14ac:dyDescent="0.25">
      <c r="D86" s="2944" t="s">
        <v>293</v>
      </c>
      <c r="E86" s="2944"/>
      <c r="F86" s="2944"/>
      <c r="G86" s="2944"/>
      <c r="H86" s="2944"/>
      <c r="I86" s="2944"/>
    </row>
  </sheetData>
  <sheetProtection algorithmName="SHA-512" hashValue="ITW8pTvPhvhvwVRK+ixuhIts/NXqUtWVDKFy0/vcx8jWuI0Cjl4NkVFhRZXvACQhrGtg6tRZUWy9V9/FWMnL0A==" saltValue="TlxIC52H7ApeFeM5asurEw==" spinCount="100000" sheet="1" objects="1" scenarios="1"/>
  <mergeCells count="551">
    <mergeCell ref="BF69:BF78"/>
    <mergeCell ref="BG69:BG78"/>
    <mergeCell ref="BH69:BH78"/>
    <mergeCell ref="BI69:BI78"/>
    <mergeCell ref="BJ69:BJ78"/>
    <mergeCell ref="U70:U78"/>
    <mergeCell ref="BE72:BE75"/>
    <mergeCell ref="AZ69:AZ78"/>
    <mergeCell ref="BA69:BA78"/>
    <mergeCell ref="BB69:BB78"/>
    <mergeCell ref="BC69:BC78"/>
    <mergeCell ref="BD69:BD78"/>
    <mergeCell ref="BE69:BE71"/>
    <mergeCell ref="AT69:AT78"/>
    <mergeCell ref="AU69:AU78"/>
    <mergeCell ref="AV69:AV78"/>
    <mergeCell ref="AW69:AW78"/>
    <mergeCell ref="AX69:AX78"/>
    <mergeCell ref="AY69:AY78"/>
    <mergeCell ref="AN69:AN78"/>
    <mergeCell ref="AO69:AO78"/>
    <mergeCell ref="AP69:AP78"/>
    <mergeCell ref="AQ69:AQ78"/>
    <mergeCell ref="AR69:AR78"/>
    <mergeCell ref="A80:R80"/>
    <mergeCell ref="B81:J81"/>
    <mergeCell ref="D85:I85"/>
    <mergeCell ref="D86:I86"/>
    <mergeCell ref="J73:J74"/>
    <mergeCell ref="K73:K74"/>
    <mergeCell ref="L73:L74"/>
    <mergeCell ref="M73:M74"/>
    <mergeCell ref="N73:N74"/>
    <mergeCell ref="AS69:AS78"/>
    <mergeCell ref="AH69:AH78"/>
    <mergeCell ref="AI69:AI78"/>
    <mergeCell ref="AJ69:AJ78"/>
    <mergeCell ref="AK69:AK78"/>
    <mergeCell ref="AL69:AL78"/>
    <mergeCell ref="AM69:AM78"/>
    <mergeCell ref="AB69:AB78"/>
    <mergeCell ref="AC69:AC78"/>
    <mergeCell ref="AD69:AD78"/>
    <mergeCell ref="AE69:AE78"/>
    <mergeCell ref="AF69:AF78"/>
    <mergeCell ref="AG69:AG78"/>
    <mergeCell ref="BH67:BH68"/>
    <mergeCell ref="BI67:BI68"/>
    <mergeCell ref="BJ67:BJ68"/>
    <mergeCell ref="O69:O78"/>
    <mergeCell ref="P69:P78"/>
    <mergeCell ref="Q69:Q78"/>
    <mergeCell ref="S69:S78"/>
    <mergeCell ref="T69:T78"/>
    <mergeCell ref="Z69:Z78"/>
    <mergeCell ref="AA69:AA78"/>
    <mergeCell ref="BB67:BB68"/>
    <mergeCell ref="BC67:BC68"/>
    <mergeCell ref="BD67:BD68"/>
    <mergeCell ref="BE67:BE68"/>
    <mergeCell ref="BF67:BF68"/>
    <mergeCell ref="BG67:BG68"/>
    <mergeCell ref="AV67:AV68"/>
    <mergeCell ref="AW67:AW68"/>
    <mergeCell ref="AX67:AX68"/>
    <mergeCell ref="AY67:AY68"/>
    <mergeCell ref="AZ67:AZ68"/>
    <mergeCell ref="BA67:BA68"/>
    <mergeCell ref="AP67:AP68"/>
    <mergeCell ref="AQ67:AQ68"/>
    <mergeCell ref="AR67:AR68"/>
    <mergeCell ref="AS67:AS68"/>
    <mergeCell ref="AT67:AT68"/>
    <mergeCell ref="AU67:AU68"/>
    <mergeCell ref="AJ67:AJ68"/>
    <mergeCell ref="AK67:AK68"/>
    <mergeCell ref="AL67:AL68"/>
    <mergeCell ref="AM67:AM68"/>
    <mergeCell ref="AN67:AN68"/>
    <mergeCell ref="AO67:AO68"/>
    <mergeCell ref="AD67:AD68"/>
    <mergeCell ref="AE67:AE68"/>
    <mergeCell ref="AF67:AF68"/>
    <mergeCell ref="AG67:AG68"/>
    <mergeCell ref="AH67:AH68"/>
    <mergeCell ref="AI67:AI68"/>
    <mergeCell ref="Q67:Q68"/>
    <mergeCell ref="R67:R68"/>
    <mergeCell ref="S67:S68"/>
    <mergeCell ref="T67:T68"/>
    <mergeCell ref="AB67:AB68"/>
    <mergeCell ref="AC67:AC68"/>
    <mergeCell ref="J67:J68"/>
    <mergeCell ref="K67:K68"/>
    <mergeCell ref="L67:L68"/>
    <mergeCell ref="M67:M68"/>
    <mergeCell ref="N67:N68"/>
    <mergeCell ref="P67:P68"/>
    <mergeCell ref="BH61:BH66"/>
    <mergeCell ref="BI61:BI66"/>
    <mergeCell ref="BJ61:BJ66"/>
    <mergeCell ref="BD63:BD64"/>
    <mergeCell ref="Z64:Z66"/>
    <mergeCell ref="AA65:AA66"/>
    <mergeCell ref="BD65:BD66"/>
    <mergeCell ref="AZ61:AZ66"/>
    <mergeCell ref="BA61:BA66"/>
    <mergeCell ref="BB61:BB66"/>
    <mergeCell ref="BC61:BC66"/>
    <mergeCell ref="BF61:BF66"/>
    <mergeCell ref="BG61:BG66"/>
    <mergeCell ref="AT61:AT66"/>
    <mergeCell ref="AU61:AU66"/>
    <mergeCell ref="AV61:AV66"/>
    <mergeCell ref="AW61:AW66"/>
    <mergeCell ref="AX61:AX66"/>
    <mergeCell ref="AY61:AY66"/>
    <mergeCell ref="AN61:AN66"/>
    <mergeCell ref="AO61:AO66"/>
    <mergeCell ref="AP61:AP66"/>
    <mergeCell ref="AQ61:AQ66"/>
    <mergeCell ref="AR61:AR66"/>
    <mergeCell ref="AS61:AS66"/>
    <mergeCell ref="AH61:AH66"/>
    <mergeCell ref="AI61:AI66"/>
    <mergeCell ref="AJ61:AJ66"/>
    <mergeCell ref="AK61:AK66"/>
    <mergeCell ref="AL61:AL66"/>
    <mergeCell ref="AM61:AM66"/>
    <mergeCell ref="AB61:AB66"/>
    <mergeCell ref="AC61:AC66"/>
    <mergeCell ref="AD61:AD66"/>
    <mergeCell ref="AE61:AE66"/>
    <mergeCell ref="AF61:AF66"/>
    <mergeCell ref="AG61:AG66"/>
    <mergeCell ref="R61:R66"/>
    <mergeCell ref="S61:S66"/>
    <mergeCell ref="T61:T66"/>
    <mergeCell ref="U61:U64"/>
    <mergeCell ref="Z61:Z63"/>
    <mergeCell ref="AA61:AA63"/>
    <mergeCell ref="BI58:BI60"/>
    <mergeCell ref="BJ58:BJ60"/>
    <mergeCell ref="J61:J66"/>
    <mergeCell ref="K61:K66"/>
    <mergeCell ref="L61:L66"/>
    <mergeCell ref="M61:M66"/>
    <mergeCell ref="N61:N66"/>
    <mergeCell ref="P61:P66"/>
    <mergeCell ref="Q61:Q66"/>
    <mergeCell ref="BB58:BB60"/>
    <mergeCell ref="BC58:BC60"/>
    <mergeCell ref="BD58:BD60"/>
    <mergeCell ref="BF58:BF60"/>
    <mergeCell ref="BG58:BG60"/>
    <mergeCell ref="BH58:BH60"/>
    <mergeCell ref="AV58:AV60"/>
    <mergeCell ref="AW58:AW60"/>
    <mergeCell ref="AX58:AX60"/>
    <mergeCell ref="AY58:AY60"/>
    <mergeCell ref="AZ58:AZ60"/>
    <mergeCell ref="BA58:BA60"/>
    <mergeCell ref="AP58:AP60"/>
    <mergeCell ref="AQ58:AQ60"/>
    <mergeCell ref="AR58:AR60"/>
    <mergeCell ref="AS58:AS60"/>
    <mergeCell ref="AT58:AT60"/>
    <mergeCell ref="AU58:AU60"/>
    <mergeCell ref="AJ58:AJ60"/>
    <mergeCell ref="AK58:AK60"/>
    <mergeCell ref="AL58:AL60"/>
    <mergeCell ref="AM58:AM60"/>
    <mergeCell ref="AN58:AN60"/>
    <mergeCell ref="AO58:AO60"/>
    <mergeCell ref="AD58:AD60"/>
    <mergeCell ref="AE58:AE60"/>
    <mergeCell ref="AF58:AF60"/>
    <mergeCell ref="AG58:AG60"/>
    <mergeCell ref="AH58:AH60"/>
    <mergeCell ref="AI58:AI60"/>
    <mergeCell ref="S58:S60"/>
    <mergeCell ref="T58:T60"/>
    <mergeCell ref="Z58:Z60"/>
    <mergeCell ref="AA58:AA60"/>
    <mergeCell ref="AB58:AB60"/>
    <mergeCell ref="AC58:AC60"/>
    <mergeCell ref="BJ55:BJ57"/>
    <mergeCell ref="J58:J60"/>
    <mergeCell ref="K58:K60"/>
    <mergeCell ref="L58:L60"/>
    <mergeCell ref="M58:M60"/>
    <mergeCell ref="N58:N60"/>
    <mergeCell ref="O58:O60"/>
    <mergeCell ref="P58:P60"/>
    <mergeCell ref="Q58:Q60"/>
    <mergeCell ref="R58:R60"/>
    <mergeCell ref="BB55:BB57"/>
    <mergeCell ref="BC55:BC57"/>
    <mergeCell ref="BD55:BD57"/>
    <mergeCell ref="BE55:BE57"/>
    <mergeCell ref="BF55:BF57"/>
    <mergeCell ref="BH55:BH57"/>
    <mergeCell ref="AV55:AV57"/>
    <mergeCell ref="AW55:AW57"/>
    <mergeCell ref="AX55:AX57"/>
    <mergeCell ref="AY55:AY57"/>
    <mergeCell ref="AZ55:AZ57"/>
    <mergeCell ref="BA55:BA57"/>
    <mergeCell ref="AP55:AP57"/>
    <mergeCell ref="AQ55:AQ57"/>
    <mergeCell ref="AR55:AR57"/>
    <mergeCell ref="AS55:AS57"/>
    <mergeCell ref="AT55:AT57"/>
    <mergeCell ref="AU55:AU57"/>
    <mergeCell ref="AJ55:AJ57"/>
    <mergeCell ref="AK55:AK57"/>
    <mergeCell ref="AL55:AL57"/>
    <mergeCell ref="AM55:AM57"/>
    <mergeCell ref="AN55:AN57"/>
    <mergeCell ref="AO55:AO57"/>
    <mergeCell ref="R49:R51"/>
    <mergeCell ref="S49:S51"/>
    <mergeCell ref="AD55:AD57"/>
    <mergeCell ref="AE55:AE57"/>
    <mergeCell ref="AF55:AF57"/>
    <mergeCell ref="AG55:AG57"/>
    <mergeCell ref="AH55:AH57"/>
    <mergeCell ref="AI55:AI57"/>
    <mergeCell ref="S55:S57"/>
    <mergeCell ref="T55:T57"/>
    <mergeCell ref="Z55:Z57"/>
    <mergeCell ref="AA55:AA57"/>
    <mergeCell ref="AB55:AB57"/>
    <mergeCell ref="AC55:AC57"/>
    <mergeCell ref="AF44:AF54"/>
    <mergeCell ref="AG44:AG54"/>
    <mergeCell ref="AH44:AH54"/>
    <mergeCell ref="AI44:AI54"/>
    <mergeCell ref="S52:S54"/>
    <mergeCell ref="R52:R54"/>
    <mergeCell ref="J55:J57"/>
    <mergeCell ref="K55:K57"/>
    <mergeCell ref="L55:L57"/>
    <mergeCell ref="M55:M57"/>
    <mergeCell ref="N55:N57"/>
    <mergeCell ref="O55:O57"/>
    <mergeCell ref="P55:P57"/>
    <mergeCell ref="Q55:Q57"/>
    <mergeCell ref="R55:R57"/>
    <mergeCell ref="BJ44:BJ54"/>
    <mergeCell ref="J47:J48"/>
    <mergeCell ref="K47:K48"/>
    <mergeCell ref="L47:L48"/>
    <mergeCell ref="M47:M48"/>
    <mergeCell ref="N47:N48"/>
    <mergeCell ref="R47:R48"/>
    <mergeCell ref="S47:S48"/>
    <mergeCell ref="U47:U48"/>
    <mergeCell ref="J49:J51"/>
    <mergeCell ref="BD44:BD54"/>
    <mergeCell ref="BE44:BE54"/>
    <mergeCell ref="BF44:BF54"/>
    <mergeCell ref="BG44:BG54"/>
    <mergeCell ref="BH44:BH54"/>
    <mergeCell ref="BI44:BI54"/>
    <mergeCell ref="AX44:AX54"/>
    <mergeCell ref="AY44:AY54"/>
    <mergeCell ref="AZ44:AZ54"/>
    <mergeCell ref="BA44:BA54"/>
    <mergeCell ref="BB44:BB54"/>
    <mergeCell ref="BC44:BC54"/>
    <mergeCell ref="AR44:AR54"/>
    <mergeCell ref="AS44:AS54"/>
    <mergeCell ref="AT44:AT54"/>
    <mergeCell ref="AU44:AU54"/>
    <mergeCell ref="AV44:AV54"/>
    <mergeCell ref="AW44:AW54"/>
    <mergeCell ref="AL44:AL54"/>
    <mergeCell ref="AM44:AM54"/>
    <mergeCell ref="AN44:AN54"/>
    <mergeCell ref="AO44:AO54"/>
    <mergeCell ref="AP44:AP54"/>
    <mergeCell ref="AQ44:AQ54"/>
    <mergeCell ref="AJ44:AJ54"/>
    <mergeCell ref="AK44:AK54"/>
    <mergeCell ref="Z44:Z54"/>
    <mergeCell ref="AA44:AA54"/>
    <mergeCell ref="AB44:AB54"/>
    <mergeCell ref="AC44:AC54"/>
    <mergeCell ref="AD44:AD54"/>
    <mergeCell ref="AE44:AE54"/>
    <mergeCell ref="U49:U51"/>
    <mergeCell ref="U52:U54"/>
    <mergeCell ref="U44:U46"/>
    <mergeCell ref="J44:J46"/>
    <mergeCell ref="K44:K46"/>
    <mergeCell ref="L44:L46"/>
    <mergeCell ref="M44:M46"/>
    <mergeCell ref="N44:N46"/>
    <mergeCell ref="O44:O54"/>
    <mergeCell ref="K49:K51"/>
    <mergeCell ref="L49:L51"/>
    <mergeCell ref="M49:M51"/>
    <mergeCell ref="N49:N51"/>
    <mergeCell ref="J52:J54"/>
    <mergeCell ref="K52:K54"/>
    <mergeCell ref="L52:L54"/>
    <mergeCell ref="M52:M54"/>
    <mergeCell ref="N52:N54"/>
    <mergeCell ref="P44:P54"/>
    <mergeCell ref="Q44:Q54"/>
    <mergeCell ref="R44:R46"/>
    <mergeCell ref="S44:S46"/>
    <mergeCell ref="T44:T54"/>
    <mergeCell ref="BE34:BE43"/>
    <mergeCell ref="BF34:BF43"/>
    <mergeCell ref="BG34:BG43"/>
    <mergeCell ref="BH34:BH43"/>
    <mergeCell ref="AM34:AM43"/>
    <mergeCell ref="AN34:AN43"/>
    <mergeCell ref="AO34:AO43"/>
    <mergeCell ref="AP34:AP43"/>
    <mergeCell ref="AQ34:AQ43"/>
    <mergeCell ref="AR34:AR43"/>
    <mergeCell ref="AG34:AG43"/>
    <mergeCell ref="AH34:AH43"/>
    <mergeCell ref="AI34:AI43"/>
    <mergeCell ref="AJ34:AJ43"/>
    <mergeCell ref="AK34:AK43"/>
    <mergeCell ref="AL34:AL43"/>
    <mergeCell ref="AA34:AA43"/>
    <mergeCell ref="AB34:AB43"/>
    <mergeCell ref="AC34:AC43"/>
    <mergeCell ref="BI34:BI43"/>
    <mergeCell ref="BJ34:BJ43"/>
    <mergeCell ref="AY34:AY43"/>
    <mergeCell ref="AZ34:AZ43"/>
    <mergeCell ref="BA34:BA43"/>
    <mergeCell ref="BB34:BB43"/>
    <mergeCell ref="BC34:BC43"/>
    <mergeCell ref="BD34:BD43"/>
    <mergeCell ref="AS34:AS43"/>
    <mergeCell ref="AT34:AT43"/>
    <mergeCell ref="AU34:AU43"/>
    <mergeCell ref="AV34:AV43"/>
    <mergeCell ref="AW34:AW43"/>
    <mergeCell ref="AX34:AX43"/>
    <mergeCell ref="AD34:AD43"/>
    <mergeCell ref="AE34:AE43"/>
    <mergeCell ref="AF34:AF43"/>
    <mergeCell ref="Q34:Q43"/>
    <mergeCell ref="R34:R43"/>
    <mergeCell ref="S34:S43"/>
    <mergeCell ref="T34:T43"/>
    <mergeCell ref="U34:U38"/>
    <mergeCell ref="Z34:Z43"/>
    <mergeCell ref="U39:U43"/>
    <mergeCell ref="BJ28:BJ31"/>
    <mergeCell ref="U29:U30"/>
    <mergeCell ref="BF28:BF31"/>
    <mergeCell ref="BG28:BG31"/>
    <mergeCell ref="BH28:BH31"/>
    <mergeCell ref="BI28:BI31"/>
    <mergeCell ref="AO28:AO31"/>
    <mergeCell ref="AP28:AP31"/>
    <mergeCell ref="AQ28:AQ31"/>
    <mergeCell ref="AF28:AF31"/>
    <mergeCell ref="AG28:AG31"/>
    <mergeCell ref="AH28:AH31"/>
    <mergeCell ref="AI28:AI31"/>
    <mergeCell ref="AJ28:AJ31"/>
    <mergeCell ref="AK28:AK31"/>
    <mergeCell ref="BE28:BE31"/>
    <mergeCell ref="S28:S31"/>
    <mergeCell ref="J34:J43"/>
    <mergeCell ref="K34:K43"/>
    <mergeCell ref="L34:L43"/>
    <mergeCell ref="M34:M43"/>
    <mergeCell ref="N34:N43"/>
    <mergeCell ref="O34:O43"/>
    <mergeCell ref="P34:P43"/>
    <mergeCell ref="BD28:BD31"/>
    <mergeCell ref="AX28:AX31"/>
    <mergeCell ref="AY28:AY31"/>
    <mergeCell ref="AZ28:AZ31"/>
    <mergeCell ref="BA28:BA31"/>
    <mergeCell ref="BB28:BB31"/>
    <mergeCell ref="BC28:BC31"/>
    <mergeCell ref="AR28:AR31"/>
    <mergeCell ref="AS28:AS31"/>
    <mergeCell ref="AT28:AT31"/>
    <mergeCell ref="AU28:AU31"/>
    <mergeCell ref="AV28:AV31"/>
    <mergeCell ref="AW28:AW31"/>
    <mergeCell ref="AL28:AL31"/>
    <mergeCell ref="AM28:AM31"/>
    <mergeCell ref="AN28:AN31"/>
    <mergeCell ref="T28:T31"/>
    <mergeCell ref="AB28:AB31"/>
    <mergeCell ref="AC28:AC31"/>
    <mergeCell ref="AD28:AD31"/>
    <mergeCell ref="AE28:AE31"/>
    <mergeCell ref="BJ23:BJ25"/>
    <mergeCell ref="J28:J31"/>
    <mergeCell ref="K28:K31"/>
    <mergeCell ref="L28:L31"/>
    <mergeCell ref="M28:M31"/>
    <mergeCell ref="N28:N31"/>
    <mergeCell ref="O28:O31"/>
    <mergeCell ref="P28:P31"/>
    <mergeCell ref="Q28:Q31"/>
    <mergeCell ref="R28:R31"/>
    <mergeCell ref="BC23:BC25"/>
    <mergeCell ref="BD23:BD25"/>
    <mergeCell ref="BF23:BF25"/>
    <mergeCell ref="BG23:BG25"/>
    <mergeCell ref="BH23:BH25"/>
    <mergeCell ref="BI23:BI25"/>
    <mergeCell ref="AW23:AW25"/>
    <mergeCell ref="AX23:AX25"/>
    <mergeCell ref="AY23:AY25"/>
    <mergeCell ref="AZ23:AZ25"/>
    <mergeCell ref="BA23:BA25"/>
    <mergeCell ref="BB23:BB25"/>
    <mergeCell ref="AQ23:AQ25"/>
    <mergeCell ref="AR23:AR25"/>
    <mergeCell ref="AS23:AS25"/>
    <mergeCell ref="AT23:AT25"/>
    <mergeCell ref="AU23:AU25"/>
    <mergeCell ref="AV23:AV25"/>
    <mergeCell ref="AK23:AK25"/>
    <mergeCell ref="AL23:AL25"/>
    <mergeCell ref="AM23:AM25"/>
    <mergeCell ref="AN23:AN25"/>
    <mergeCell ref="AO23:AO25"/>
    <mergeCell ref="AP23:AP25"/>
    <mergeCell ref="AE23:AE25"/>
    <mergeCell ref="AF23:AF25"/>
    <mergeCell ref="AG23:AG25"/>
    <mergeCell ref="AH23:AH25"/>
    <mergeCell ref="AI23:AI25"/>
    <mergeCell ref="AJ23:AJ25"/>
    <mergeCell ref="Z23:Z25"/>
    <mergeCell ref="AA23:AA25"/>
    <mergeCell ref="AB23:AB25"/>
    <mergeCell ref="AC23:AC25"/>
    <mergeCell ref="AD23:AD25"/>
    <mergeCell ref="O23:O25"/>
    <mergeCell ref="P23:P25"/>
    <mergeCell ref="Q23:Q25"/>
    <mergeCell ref="R23:R25"/>
    <mergeCell ref="S23:S25"/>
    <mergeCell ref="T23:T25"/>
    <mergeCell ref="U20:U21"/>
    <mergeCell ref="B21:C21"/>
    <mergeCell ref="E21:F21"/>
    <mergeCell ref="H21:I21"/>
    <mergeCell ref="J23:J25"/>
    <mergeCell ref="K23:K25"/>
    <mergeCell ref="L23:L25"/>
    <mergeCell ref="M23:M25"/>
    <mergeCell ref="N23:N25"/>
    <mergeCell ref="U23:U24"/>
    <mergeCell ref="J12:J21"/>
    <mergeCell ref="K12:K21"/>
    <mergeCell ref="L12:L21"/>
    <mergeCell ref="M12:M21"/>
    <mergeCell ref="N12:N21"/>
    <mergeCell ref="O12:O21"/>
    <mergeCell ref="P12:P21"/>
    <mergeCell ref="BH12:BH21"/>
    <mergeCell ref="BI12:BI21"/>
    <mergeCell ref="BJ12:BJ21"/>
    <mergeCell ref="B15:C15"/>
    <mergeCell ref="E15:F15"/>
    <mergeCell ref="H15:I15"/>
    <mergeCell ref="U16:U19"/>
    <mergeCell ref="B20:C20"/>
    <mergeCell ref="E20:F20"/>
    <mergeCell ref="BA12:BA21"/>
    <mergeCell ref="BB12:BB21"/>
    <mergeCell ref="BC12:BC21"/>
    <mergeCell ref="BD12:BD21"/>
    <mergeCell ref="BE12:BE21"/>
    <mergeCell ref="BF12:BF21"/>
    <mergeCell ref="AU12:AU21"/>
    <mergeCell ref="AV12:AV21"/>
    <mergeCell ref="AW12:AW21"/>
    <mergeCell ref="AX12:AX21"/>
    <mergeCell ref="AY12:AY21"/>
    <mergeCell ref="AZ12:AZ21"/>
    <mergeCell ref="AO12:AO21"/>
    <mergeCell ref="AP12:AP21"/>
    <mergeCell ref="H20:I20"/>
    <mergeCell ref="AS12:AS21"/>
    <mergeCell ref="AT12:AT21"/>
    <mergeCell ref="AI12:AI21"/>
    <mergeCell ref="AJ12:AJ21"/>
    <mergeCell ref="AK12:AK21"/>
    <mergeCell ref="AL12:AL21"/>
    <mergeCell ref="AM12:AM21"/>
    <mergeCell ref="AN12:AN21"/>
    <mergeCell ref="BG12:BG21"/>
    <mergeCell ref="BH7:BI7"/>
    <mergeCell ref="AB7:AM7"/>
    <mergeCell ref="AN7:AY7"/>
    <mergeCell ref="AZ7:BE7"/>
    <mergeCell ref="W7:Y7"/>
    <mergeCell ref="Z7:Z8"/>
    <mergeCell ref="AC12:AC21"/>
    <mergeCell ref="Q12:Q21"/>
    <mergeCell ref="R12:R21"/>
    <mergeCell ref="V7:V8"/>
    <mergeCell ref="AD12:AD21"/>
    <mergeCell ref="AE12:AE21"/>
    <mergeCell ref="AF12:AF21"/>
    <mergeCell ref="AG12:AG21"/>
    <mergeCell ref="AH12:AH21"/>
    <mergeCell ref="S12:S21"/>
    <mergeCell ref="T12:T21"/>
    <mergeCell ref="U12:U15"/>
    <mergeCell ref="Z12:Z21"/>
    <mergeCell ref="AA12:AA21"/>
    <mergeCell ref="AB12:AB21"/>
    <mergeCell ref="AA7:AA8"/>
    <mergeCell ref="AQ12:AQ21"/>
    <mergeCell ref="AR12:AR21"/>
    <mergeCell ref="J7:J8"/>
    <mergeCell ref="K7:K8"/>
    <mergeCell ref="L7:L8"/>
    <mergeCell ref="M7:N7"/>
    <mergeCell ref="O7:O8"/>
    <mergeCell ref="P7:P8"/>
    <mergeCell ref="A1:BF4"/>
    <mergeCell ref="A5:M6"/>
    <mergeCell ref="AB6:AY6"/>
    <mergeCell ref="A7:A8"/>
    <mergeCell ref="B7:C8"/>
    <mergeCell ref="D7:D8"/>
    <mergeCell ref="E7:F8"/>
    <mergeCell ref="G7:G8"/>
    <mergeCell ref="H7:I8"/>
    <mergeCell ref="BF7:BG7"/>
    <mergeCell ref="Q7:Q8"/>
    <mergeCell ref="R7:R8"/>
    <mergeCell ref="S7:S8"/>
    <mergeCell ref="T7:T8"/>
    <mergeCell ref="U7:U8"/>
    <mergeCell ref="Q5:BJ5"/>
    <mergeCell ref="Q6:AA6"/>
    <mergeCell ref="BF6:BJ6"/>
  </mergeCells>
  <pageMargins left="0.70866141732283472" right="0.70866141732283472" top="0.35433070866141736" bottom="0.35433070866141736" header="0.31496062992125984" footer="0.31496062992125984"/>
  <pageSetup paperSize="5" scale="2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O25"/>
  <sheetViews>
    <sheetView topLeftCell="AB1" zoomScale="55" zoomScaleNormal="55" workbookViewId="0">
      <pane ySplit="9" topLeftCell="A13" activePane="bottomLeft" state="frozen"/>
      <selection pane="bottomLeft" activeCell="A10" sqref="A10:XFD10"/>
    </sheetView>
  </sheetViews>
  <sheetFormatPr baseColWidth="10" defaultColWidth="11.42578125" defaultRowHeight="14.25" x14ac:dyDescent="0.2"/>
  <cols>
    <col min="1" max="1" width="12.140625" style="3" customWidth="1"/>
    <col min="2" max="2" width="4" style="3" customWidth="1"/>
    <col min="3" max="3" width="14.7109375" style="3" customWidth="1"/>
    <col min="4" max="4" width="12.5703125" style="3" customWidth="1"/>
    <col min="5" max="5" width="7.42578125" style="3" customWidth="1"/>
    <col min="6" max="6" width="9.7109375" style="3" customWidth="1"/>
    <col min="7" max="7" width="10.85546875" style="3" customWidth="1"/>
    <col min="8" max="8" width="8.5703125" style="3" customWidth="1"/>
    <col min="9" max="9" width="13.28515625" style="3" customWidth="1"/>
    <col min="10" max="10" width="11" style="3" customWidth="1"/>
    <col min="11" max="11" width="22.7109375" style="3" customWidth="1"/>
    <col min="12" max="12" width="18.7109375" style="23" customWidth="1"/>
    <col min="13" max="14" width="13.85546875" style="23" customWidth="1"/>
    <col min="15" max="15" width="22.85546875" style="3" customWidth="1"/>
    <col min="16" max="16" width="13.28515625" style="23" customWidth="1"/>
    <col min="17" max="17" width="21.42578125" style="6" customWidth="1"/>
    <col min="18" max="18" width="15.85546875" style="8" customWidth="1"/>
    <col min="19" max="19" width="23.28515625" style="3" customWidth="1"/>
    <col min="20" max="20" width="32.7109375" style="3" customWidth="1"/>
    <col min="21" max="21" width="34.42578125" style="3" customWidth="1"/>
    <col min="22" max="22" width="22.5703125" style="7" customWidth="1"/>
    <col min="23" max="25" width="28.140625" style="248" customWidth="1"/>
    <col min="26" max="26" width="17.85546875" style="249" customWidth="1"/>
    <col min="27" max="27" width="16.28515625" style="7" customWidth="1"/>
    <col min="28" max="28" width="7.28515625" style="4" customWidth="1"/>
    <col min="29" max="29" width="7.28515625" style="123" customWidth="1"/>
    <col min="30" max="30" width="9" style="4" customWidth="1"/>
    <col min="31" max="31" width="9" style="123" customWidth="1"/>
    <col min="32" max="32" width="7.28515625" style="4" customWidth="1"/>
    <col min="33" max="33" width="7.28515625" style="123" customWidth="1"/>
    <col min="34" max="34" width="7.28515625" style="4" customWidth="1"/>
    <col min="35" max="35" width="7.28515625" style="123" customWidth="1"/>
    <col min="36" max="36" width="7.28515625" style="4" customWidth="1"/>
    <col min="37" max="37" width="7.28515625" style="123" customWidth="1"/>
    <col min="38" max="38" width="7.28515625" style="4" customWidth="1"/>
    <col min="39" max="39" width="7.28515625" style="123" customWidth="1"/>
    <col min="40" max="40" width="7.28515625" style="4" customWidth="1"/>
    <col min="41" max="41" width="7.28515625" style="123" customWidth="1"/>
    <col min="42" max="42" width="7.28515625" style="4" customWidth="1"/>
    <col min="43" max="43" width="7.28515625" style="123" customWidth="1"/>
    <col min="44" max="44" width="7.28515625" style="4" customWidth="1"/>
    <col min="45" max="45" width="7.28515625" style="123" customWidth="1"/>
    <col min="46" max="51" width="7.28515625" style="4" customWidth="1"/>
    <col min="52" max="57" width="20.85546875" style="4" customWidth="1"/>
    <col min="58" max="59" width="22.7109375" style="21" customWidth="1"/>
    <col min="60" max="61" width="22.7109375" style="22" customWidth="1"/>
    <col min="62" max="62" width="28.7109375" style="197" customWidth="1"/>
    <col min="63" max="63" width="21.42578125" style="20" customWidth="1"/>
    <col min="64" max="64" width="15.7109375" style="20" bestFit="1" customWidth="1"/>
    <col min="65" max="16384" width="11.42578125" style="4"/>
  </cols>
  <sheetData>
    <row r="1" spans="1:67" ht="15" customHeight="1"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2742"/>
      <c r="BD1" s="2742"/>
      <c r="BE1" s="2742"/>
      <c r="BF1" s="2742"/>
      <c r="BG1" s="2083"/>
      <c r="BH1" s="4"/>
      <c r="BI1" s="1895" t="s">
        <v>1</v>
      </c>
      <c r="BJ1" s="1895" t="s">
        <v>2</v>
      </c>
      <c r="BK1" s="4"/>
      <c r="BL1" s="4"/>
    </row>
    <row r="2" spans="1:67"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2742"/>
      <c r="BD2" s="2742"/>
      <c r="BE2" s="2742"/>
      <c r="BF2" s="2742"/>
      <c r="BG2" s="2083"/>
      <c r="BH2" s="4"/>
      <c r="BI2" s="1896" t="s">
        <v>3</v>
      </c>
      <c r="BJ2" s="1897">
        <v>5</v>
      </c>
      <c r="BK2" s="4"/>
      <c r="BL2" s="4"/>
    </row>
    <row r="3" spans="1:67"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2742"/>
      <c r="BD3" s="2742"/>
      <c r="BE3" s="2742"/>
      <c r="BF3" s="2742"/>
      <c r="BG3" s="2083"/>
      <c r="BH3" s="4"/>
      <c r="BI3" s="1895" t="s">
        <v>4</v>
      </c>
      <c r="BJ3" s="1898" t="s">
        <v>5</v>
      </c>
      <c r="BK3" s="4"/>
      <c r="BL3" s="4"/>
    </row>
    <row r="4" spans="1:67" s="24" customFormat="1" ht="21"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2743"/>
      <c r="BD4" s="2743"/>
      <c r="BE4" s="2743"/>
      <c r="BF4" s="2743"/>
      <c r="BG4" s="2084"/>
      <c r="BI4" s="679" t="s">
        <v>6</v>
      </c>
      <c r="BJ4" s="1899" t="s">
        <v>7</v>
      </c>
    </row>
    <row r="5" spans="1:67"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c r="BK5" s="4"/>
      <c r="BL5" s="4"/>
    </row>
    <row r="6" spans="1:67"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c r="BK6" s="4"/>
      <c r="BL6" s="4"/>
    </row>
    <row r="7" spans="1:67" ht="13.5" customHeight="1" x14ac:dyDescent="0.2">
      <c r="A7" s="2735" t="s">
        <v>11</v>
      </c>
      <c r="B7" s="2729" t="s">
        <v>12</v>
      </c>
      <c r="C7" s="2731"/>
      <c r="D7" s="2735" t="s">
        <v>11</v>
      </c>
      <c r="E7" s="2729" t="s">
        <v>13</v>
      </c>
      <c r="F7" s="2731"/>
      <c r="G7" s="2735" t="s">
        <v>11</v>
      </c>
      <c r="H7" s="2729" t="s">
        <v>14</v>
      </c>
      <c r="I7" s="2731"/>
      <c r="J7" s="2735" t="s">
        <v>11</v>
      </c>
      <c r="K7" s="2735" t="s">
        <v>15</v>
      </c>
      <c r="L7" s="2735" t="s">
        <v>16</v>
      </c>
      <c r="M7" s="2729" t="s">
        <v>17</v>
      </c>
      <c r="N7" s="2731"/>
      <c r="O7" s="2735" t="s">
        <v>18</v>
      </c>
      <c r="P7" s="2735" t="s">
        <v>294</v>
      </c>
      <c r="Q7" s="2735" t="s">
        <v>9</v>
      </c>
      <c r="R7" s="3004" t="s">
        <v>20</v>
      </c>
      <c r="S7" s="2735" t="s">
        <v>21</v>
      </c>
      <c r="T7" s="2735" t="s">
        <v>22</v>
      </c>
      <c r="U7" s="2735" t="s">
        <v>23</v>
      </c>
      <c r="V7" s="2735" t="s">
        <v>24</v>
      </c>
      <c r="W7" s="2995" t="s">
        <v>21</v>
      </c>
      <c r="X7" s="2996"/>
      <c r="Y7" s="2997"/>
      <c r="Z7" s="3001" t="s">
        <v>11</v>
      </c>
      <c r="AA7" s="2735" t="s">
        <v>25</v>
      </c>
      <c r="AB7" s="2752" t="s">
        <v>26</v>
      </c>
      <c r="AC7" s="2753"/>
      <c r="AD7" s="2753"/>
      <c r="AE7" s="2753"/>
      <c r="AF7" s="2753"/>
      <c r="AG7" s="2753"/>
      <c r="AH7" s="2753"/>
      <c r="AI7" s="2753"/>
      <c r="AJ7" s="2753"/>
      <c r="AK7" s="2753"/>
      <c r="AL7" s="2753"/>
      <c r="AM7" s="2754"/>
      <c r="AN7" s="2752" t="s">
        <v>27</v>
      </c>
      <c r="AO7" s="2753"/>
      <c r="AP7" s="2753"/>
      <c r="AQ7" s="2753"/>
      <c r="AR7" s="2753"/>
      <c r="AS7" s="2753"/>
      <c r="AT7" s="2753"/>
      <c r="AU7" s="2753"/>
      <c r="AV7" s="2753"/>
      <c r="AW7" s="2753"/>
      <c r="AX7" s="2753"/>
      <c r="AY7" s="2754"/>
      <c r="AZ7" s="3009" t="s">
        <v>28</v>
      </c>
      <c r="BA7" s="3010"/>
      <c r="BB7" s="3010"/>
      <c r="BC7" s="3010"/>
      <c r="BD7" s="3010"/>
      <c r="BE7" s="3011"/>
      <c r="BF7" s="3012" t="s">
        <v>29</v>
      </c>
      <c r="BG7" s="3012"/>
      <c r="BH7" s="3012" t="s">
        <v>30</v>
      </c>
      <c r="BI7" s="3012"/>
      <c r="BJ7" s="3004" t="s">
        <v>31</v>
      </c>
    </row>
    <row r="8" spans="1:67" ht="62.25" customHeight="1" x14ac:dyDescent="0.2">
      <c r="A8" s="2736"/>
      <c r="B8" s="2732"/>
      <c r="C8" s="2734"/>
      <c r="D8" s="2736"/>
      <c r="E8" s="2732"/>
      <c r="F8" s="2734"/>
      <c r="G8" s="2736"/>
      <c r="H8" s="2732"/>
      <c r="I8" s="2734"/>
      <c r="J8" s="2736"/>
      <c r="K8" s="2736"/>
      <c r="L8" s="2736"/>
      <c r="M8" s="2749"/>
      <c r="N8" s="2750"/>
      <c r="O8" s="2736"/>
      <c r="P8" s="2736"/>
      <c r="Q8" s="2736"/>
      <c r="R8" s="3005"/>
      <c r="S8" s="2736"/>
      <c r="T8" s="2736"/>
      <c r="U8" s="2736"/>
      <c r="V8" s="2736"/>
      <c r="W8" s="2998"/>
      <c r="X8" s="2999"/>
      <c r="Y8" s="3000"/>
      <c r="Z8" s="3002"/>
      <c r="AA8" s="2736"/>
      <c r="AB8" s="2989" t="s">
        <v>32</v>
      </c>
      <c r="AC8" s="2990"/>
      <c r="AD8" s="3007" t="s">
        <v>33</v>
      </c>
      <c r="AE8" s="3008"/>
      <c r="AF8" s="2989" t="s">
        <v>34</v>
      </c>
      <c r="AG8" s="2990"/>
      <c r="AH8" s="2989" t="s">
        <v>35</v>
      </c>
      <c r="AI8" s="2990"/>
      <c r="AJ8" s="2989" t="s">
        <v>36</v>
      </c>
      <c r="AK8" s="2990"/>
      <c r="AL8" s="2989" t="s">
        <v>37</v>
      </c>
      <c r="AM8" s="2990"/>
      <c r="AN8" s="2989" t="s">
        <v>38</v>
      </c>
      <c r="AO8" s="2990"/>
      <c r="AP8" s="2989" t="s">
        <v>39</v>
      </c>
      <c r="AQ8" s="2990"/>
      <c r="AR8" s="2989" t="s">
        <v>40</v>
      </c>
      <c r="AS8" s="2990"/>
      <c r="AT8" s="2989" t="s">
        <v>41</v>
      </c>
      <c r="AU8" s="2990"/>
      <c r="AV8" s="2989" t="s">
        <v>42</v>
      </c>
      <c r="AW8" s="2990"/>
      <c r="AX8" s="2989" t="s">
        <v>43</v>
      </c>
      <c r="AY8" s="2990"/>
      <c r="AZ8" s="2991" t="s">
        <v>44</v>
      </c>
      <c r="BA8" s="2992" t="s">
        <v>45</v>
      </c>
      <c r="BB8" s="2991" t="s">
        <v>46</v>
      </c>
      <c r="BC8" s="2993" t="s">
        <v>47</v>
      </c>
      <c r="BD8" s="2991" t="s">
        <v>48</v>
      </c>
      <c r="BE8" s="2974" t="s">
        <v>295</v>
      </c>
      <c r="BF8" s="3012"/>
      <c r="BG8" s="3012"/>
      <c r="BH8" s="3012"/>
      <c r="BI8" s="3012"/>
      <c r="BJ8" s="3005"/>
    </row>
    <row r="9" spans="1:67" ht="24" customHeight="1" x14ac:dyDescent="0.2">
      <c r="A9" s="2737"/>
      <c r="B9" s="2749"/>
      <c r="C9" s="2750"/>
      <c r="D9" s="2737"/>
      <c r="E9" s="2749"/>
      <c r="F9" s="2750"/>
      <c r="G9" s="2737"/>
      <c r="H9" s="2749"/>
      <c r="I9" s="2750"/>
      <c r="J9" s="2737"/>
      <c r="K9" s="2737"/>
      <c r="L9" s="2737"/>
      <c r="M9" s="239" t="s">
        <v>296</v>
      </c>
      <c r="N9" s="240" t="s">
        <v>51</v>
      </c>
      <c r="O9" s="2737"/>
      <c r="P9" s="2737"/>
      <c r="Q9" s="2737"/>
      <c r="R9" s="3006"/>
      <c r="S9" s="2737"/>
      <c r="T9" s="2737"/>
      <c r="U9" s="2737"/>
      <c r="V9" s="2737"/>
      <c r="W9" s="2091" t="s">
        <v>52</v>
      </c>
      <c r="X9" s="86" t="s">
        <v>53</v>
      </c>
      <c r="Y9" s="86" t="s">
        <v>54</v>
      </c>
      <c r="Z9" s="3003"/>
      <c r="AA9" s="2737"/>
      <c r="AB9" s="239" t="s">
        <v>296</v>
      </c>
      <c r="AC9" s="240" t="s">
        <v>51</v>
      </c>
      <c r="AD9" s="239" t="s">
        <v>296</v>
      </c>
      <c r="AE9" s="240" t="s">
        <v>51</v>
      </c>
      <c r="AF9" s="239" t="s">
        <v>296</v>
      </c>
      <c r="AG9" s="240" t="s">
        <v>51</v>
      </c>
      <c r="AH9" s="239" t="s">
        <v>296</v>
      </c>
      <c r="AI9" s="240" t="s">
        <v>51</v>
      </c>
      <c r="AJ9" s="239" t="s">
        <v>296</v>
      </c>
      <c r="AK9" s="240" t="s">
        <v>51</v>
      </c>
      <c r="AL9" s="239" t="s">
        <v>296</v>
      </c>
      <c r="AM9" s="240" t="s">
        <v>51</v>
      </c>
      <c r="AN9" s="239" t="s">
        <v>296</v>
      </c>
      <c r="AO9" s="240" t="s">
        <v>51</v>
      </c>
      <c r="AP9" s="239" t="s">
        <v>296</v>
      </c>
      <c r="AQ9" s="240" t="s">
        <v>51</v>
      </c>
      <c r="AR9" s="239" t="s">
        <v>296</v>
      </c>
      <c r="AS9" s="240" t="s">
        <v>51</v>
      </c>
      <c r="AT9" s="239" t="s">
        <v>296</v>
      </c>
      <c r="AU9" s="240" t="s">
        <v>51</v>
      </c>
      <c r="AV9" s="239" t="s">
        <v>296</v>
      </c>
      <c r="AW9" s="240" t="s">
        <v>51</v>
      </c>
      <c r="AX9" s="239" t="s">
        <v>296</v>
      </c>
      <c r="AY9" s="240" t="s">
        <v>51</v>
      </c>
      <c r="AZ9" s="2991"/>
      <c r="BA9" s="2992"/>
      <c r="BB9" s="2991"/>
      <c r="BC9" s="2994"/>
      <c r="BD9" s="2991"/>
      <c r="BE9" s="2975"/>
      <c r="BF9" s="2188" t="s">
        <v>50</v>
      </c>
      <c r="BG9" s="116" t="s">
        <v>51</v>
      </c>
      <c r="BH9" s="2188" t="s">
        <v>50</v>
      </c>
      <c r="BI9" s="116" t="s">
        <v>51</v>
      </c>
      <c r="BJ9" s="3006"/>
    </row>
    <row r="10" spans="1:67" s="2" customFormat="1" ht="25.5" customHeight="1" x14ac:dyDescent="0.2">
      <c r="A10" s="54" t="s">
        <v>297</v>
      </c>
      <c r="B10" s="44" t="s">
        <v>298</v>
      </c>
      <c r="C10" s="55"/>
      <c r="D10" s="44"/>
      <c r="E10" s="44"/>
      <c r="F10" s="44"/>
      <c r="G10" s="44"/>
      <c r="H10" s="44"/>
      <c r="I10" s="44"/>
      <c r="J10" s="44"/>
      <c r="K10" s="44"/>
      <c r="L10" s="44"/>
      <c r="M10" s="44"/>
      <c r="N10" s="44"/>
      <c r="O10" s="44"/>
      <c r="P10" s="44"/>
      <c r="Q10" s="45"/>
      <c r="R10" s="44"/>
      <c r="S10" s="44"/>
      <c r="T10" s="45"/>
      <c r="U10" s="45"/>
      <c r="V10" s="45"/>
      <c r="W10" s="44"/>
      <c r="X10" s="44"/>
      <c r="Y10" s="44"/>
      <c r="Z10" s="241"/>
      <c r="AA10" s="46"/>
      <c r="AB10" s="44"/>
      <c r="AC10" s="272"/>
      <c r="AD10" s="44"/>
      <c r="AE10" s="272"/>
      <c r="AF10" s="44"/>
      <c r="AG10" s="272"/>
      <c r="AH10" s="44"/>
      <c r="AI10" s="272"/>
      <c r="AJ10" s="44"/>
      <c r="AK10" s="272"/>
      <c r="AL10" s="44"/>
      <c r="AM10" s="272"/>
      <c r="AN10" s="44"/>
      <c r="AO10" s="272"/>
      <c r="AP10" s="44"/>
      <c r="AQ10" s="272"/>
      <c r="AR10" s="44"/>
      <c r="AS10" s="272"/>
      <c r="AT10" s="44"/>
      <c r="AU10" s="44"/>
      <c r="AV10" s="44"/>
      <c r="AW10" s="44"/>
      <c r="AX10" s="44"/>
      <c r="AY10" s="44"/>
      <c r="AZ10" s="44"/>
      <c r="BA10" s="44"/>
      <c r="BB10" s="44"/>
      <c r="BC10" s="44"/>
      <c r="BD10" s="44"/>
      <c r="BE10" s="44"/>
      <c r="BF10" s="46"/>
      <c r="BG10" s="46"/>
      <c r="BH10" s="46"/>
      <c r="BI10" s="46"/>
      <c r="BJ10" s="56"/>
      <c r="BK10" s="1"/>
      <c r="BL10" s="1"/>
      <c r="BM10" s="1"/>
      <c r="BN10" s="1"/>
      <c r="BO10" s="1"/>
    </row>
    <row r="11" spans="1:67" s="2" customFormat="1" ht="24" customHeight="1" x14ac:dyDescent="0.2">
      <c r="A11" s="2976"/>
      <c r="B11" s="2979"/>
      <c r="C11" s="2979"/>
      <c r="D11" s="57" t="s">
        <v>299</v>
      </c>
      <c r="E11" s="58" t="s">
        <v>300</v>
      </c>
      <c r="F11" s="47"/>
      <c r="G11" s="47"/>
      <c r="H11" s="47"/>
      <c r="I11" s="47"/>
      <c r="J11" s="47"/>
      <c r="K11" s="47"/>
      <c r="L11" s="47"/>
      <c r="M11" s="47"/>
      <c r="N11" s="47"/>
      <c r="O11" s="47"/>
      <c r="P11" s="47"/>
      <c r="Q11" s="48"/>
      <c r="R11" s="47"/>
      <c r="S11" s="47"/>
      <c r="T11" s="48"/>
      <c r="U11" s="48"/>
      <c r="V11" s="48"/>
      <c r="W11" s="47"/>
      <c r="X11" s="47"/>
      <c r="Y11" s="47"/>
      <c r="Z11" s="242"/>
      <c r="AA11" s="49"/>
      <c r="AB11" s="47"/>
      <c r="AC11" s="157"/>
      <c r="AD11" s="47"/>
      <c r="AE11" s="157"/>
      <c r="AF11" s="47"/>
      <c r="AG11" s="157"/>
      <c r="AH11" s="47"/>
      <c r="AI11" s="157"/>
      <c r="AJ11" s="47"/>
      <c r="AK11" s="157"/>
      <c r="AL11" s="47"/>
      <c r="AM11" s="157"/>
      <c r="AN11" s="47"/>
      <c r="AO11" s="157"/>
      <c r="AP11" s="47"/>
      <c r="AQ11" s="157"/>
      <c r="AR11" s="47"/>
      <c r="AS11" s="157"/>
      <c r="AT11" s="47"/>
      <c r="AU11" s="47"/>
      <c r="AV11" s="47"/>
      <c r="AW11" s="47"/>
      <c r="AX11" s="47"/>
      <c r="AY11" s="47"/>
      <c r="AZ11" s="47"/>
      <c r="BA11" s="47"/>
      <c r="BB11" s="47"/>
      <c r="BC11" s="47"/>
      <c r="BD11" s="47"/>
      <c r="BE11" s="47"/>
      <c r="BF11" s="49"/>
      <c r="BG11" s="49"/>
      <c r="BH11" s="49"/>
      <c r="BI11" s="49"/>
      <c r="BJ11" s="59"/>
      <c r="BK11" s="1"/>
      <c r="BL11" s="1"/>
      <c r="BM11" s="1"/>
      <c r="BN11" s="1"/>
      <c r="BO11" s="1"/>
    </row>
    <row r="12" spans="1:67" s="2" customFormat="1" ht="30" customHeight="1" thickBot="1" x14ac:dyDescent="0.25">
      <c r="A12" s="2977"/>
      <c r="B12" s="2980"/>
      <c r="C12" s="2980"/>
      <c r="D12" s="2976"/>
      <c r="E12" s="2976"/>
      <c r="F12" s="2982"/>
      <c r="G12" s="62" t="s">
        <v>301</v>
      </c>
      <c r="H12" s="2985" t="s">
        <v>302</v>
      </c>
      <c r="I12" s="2986"/>
      <c r="J12" s="2986"/>
      <c r="K12" s="2986"/>
      <c r="L12" s="50"/>
      <c r="M12" s="51"/>
      <c r="N12" s="51"/>
      <c r="O12" s="51"/>
      <c r="P12" s="51"/>
      <c r="Q12" s="52"/>
      <c r="R12" s="63"/>
      <c r="S12" s="51"/>
      <c r="T12" s="52"/>
      <c r="U12" s="52"/>
      <c r="V12" s="52"/>
      <c r="W12" s="51"/>
      <c r="X12" s="51"/>
      <c r="Y12" s="51"/>
      <c r="Z12" s="243"/>
      <c r="AA12" s="53"/>
      <c r="AB12" s="51"/>
      <c r="AC12" s="893"/>
      <c r="AD12" s="51"/>
      <c r="AE12" s="893"/>
      <c r="AF12" s="51"/>
      <c r="AG12" s="893"/>
      <c r="AH12" s="51"/>
      <c r="AI12" s="893"/>
      <c r="AJ12" s="51"/>
      <c r="AK12" s="893"/>
      <c r="AL12" s="51"/>
      <c r="AM12" s="893"/>
      <c r="AN12" s="51"/>
      <c r="AO12" s="893"/>
      <c r="AP12" s="51"/>
      <c r="AQ12" s="893"/>
      <c r="AR12" s="51"/>
      <c r="AS12" s="893"/>
      <c r="AT12" s="51"/>
      <c r="AU12" s="51"/>
      <c r="AV12" s="51"/>
      <c r="AW12" s="51"/>
      <c r="AX12" s="51"/>
      <c r="AY12" s="51"/>
      <c r="AZ12" s="51"/>
      <c r="BA12" s="51"/>
      <c r="BB12" s="51"/>
      <c r="BC12" s="51"/>
      <c r="BD12" s="51"/>
      <c r="BE12" s="51"/>
      <c r="BF12" s="53"/>
      <c r="BG12" s="53"/>
      <c r="BH12" s="53"/>
      <c r="BI12" s="53"/>
      <c r="BJ12" s="64"/>
      <c r="BK12" s="1"/>
      <c r="BL12" s="1"/>
      <c r="BM12" s="1"/>
      <c r="BN12" s="1"/>
      <c r="BO12" s="1"/>
    </row>
    <row r="13" spans="1:67" s="3" customFormat="1" ht="238.5" customHeight="1" x14ac:dyDescent="0.2">
      <c r="A13" s="2977"/>
      <c r="B13" s="2980"/>
      <c r="C13" s="2980"/>
      <c r="D13" s="2977"/>
      <c r="E13" s="2977"/>
      <c r="F13" s="2983"/>
      <c r="G13" s="2626"/>
      <c r="H13" s="2626"/>
      <c r="I13" s="2626"/>
      <c r="J13" s="2137">
        <v>275</v>
      </c>
      <c r="K13" s="2129" t="s">
        <v>303</v>
      </c>
      <c r="L13" s="2137" t="s">
        <v>304</v>
      </c>
      <c r="M13" s="2137">
        <v>4</v>
      </c>
      <c r="N13" s="2451">
        <v>4</v>
      </c>
      <c r="O13" s="2605" t="s">
        <v>305</v>
      </c>
      <c r="P13" s="2600">
        <v>16</v>
      </c>
      <c r="Q13" s="2604" t="s">
        <v>306</v>
      </c>
      <c r="R13" s="2290">
        <f>+W13/$S$13*100</f>
        <v>66.891792007773248</v>
      </c>
      <c r="S13" s="2972">
        <v>1132758602</v>
      </c>
      <c r="T13" s="2604" t="s">
        <v>307</v>
      </c>
      <c r="U13" s="2129" t="s">
        <v>308</v>
      </c>
      <c r="V13" s="2539" t="s">
        <v>309</v>
      </c>
      <c r="W13" s="244">
        <v>757722528</v>
      </c>
      <c r="X13" s="256">
        <v>749582182</v>
      </c>
      <c r="Y13" s="256">
        <f>700815270+3</f>
        <v>700815273</v>
      </c>
      <c r="Z13" s="245">
        <v>20</v>
      </c>
      <c r="AA13" s="2129" t="s">
        <v>310</v>
      </c>
      <c r="AB13" s="2954">
        <v>64149</v>
      </c>
      <c r="AC13" s="2957">
        <v>64149</v>
      </c>
      <c r="AD13" s="2954">
        <v>72224</v>
      </c>
      <c r="AE13" s="2957">
        <v>72224</v>
      </c>
      <c r="AF13" s="2954">
        <v>27477</v>
      </c>
      <c r="AG13" s="2957">
        <v>27477</v>
      </c>
      <c r="AH13" s="2954">
        <v>86843</v>
      </c>
      <c r="AI13" s="2957">
        <v>86843</v>
      </c>
      <c r="AJ13" s="2954">
        <v>236429</v>
      </c>
      <c r="AK13" s="2957">
        <v>236429</v>
      </c>
      <c r="AL13" s="2954">
        <v>81384</v>
      </c>
      <c r="AM13" s="2957">
        <v>81384</v>
      </c>
      <c r="AN13" s="2954">
        <v>13208</v>
      </c>
      <c r="AO13" s="2957">
        <v>13208</v>
      </c>
      <c r="AP13" s="2954">
        <v>1817</v>
      </c>
      <c r="AQ13" s="2957">
        <v>1817</v>
      </c>
      <c r="AR13" s="2954"/>
      <c r="AS13" s="2957"/>
      <c r="AT13" s="2954"/>
      <c r="AU13" s="2954"/>
      <c r="AV13" s="2954">
        <v>16897</v>
      </c>
      <c r="AW13" s="2957"/>
      <c r="AX13" s="2954">
        <v>81384</v>
      </c>
      <c r="AY13" s="2957"/>
      <c r="AZ13" s="2600">
        <v>56</v>
      </c>
      <c r="BA13" s="2969">
        <f>+X13+X14+X15</f>
        <v>1064808555</v>
      </c>
      <c r="BB13" s="2969">
        <f>+Y13+Y14+Y15</f>
        <v>977703860</v>
      </c>
      <c r="BC13" s="2620">
        <f>+BB13/BA13</f>
        <v>0.91819684901010212</v>
      </c>
      <c r="BD13" s="2600" t="s">
        <v>311</v>
      </c>
      <c r="BE13" s="2600" t="s">
        <v>312</v>
      </c>
      <c r="BF13" s="2294">
        <v>42583</v>
      </c>
      <c r="BG13" s="2297">
        <v>42598</v>
      </c>
      <c r="BH13" s="2294">
        <v>42735</v>
      </c>
      <c r="BI13" s="2297">
        <v>42735</v>
      </c>
      <c r="BJ13" s="2290" t="s">
        <v>313</v>
      </c>
    </row>
    <row r="14" spans="1:67" s="3" customFormat="1" ht="198.75" customHeight="1" x14ac:dyDescent="0.2">
      <c r="A14" s="2977"/>
      <c r="B14" s="2980"/>
      <c r="C14" s="2980"/>
      <c r="D14" s="2977"/>
      <c r="E14" s="2977"/>
      <c r="F14" s="2983"/>
      <c r="G14" s="2626"/>
      <c r="H14" s="2626"/>
      <c r="I14" s="2626"/>
      <c r="J14" s="2137">
        <v>276</v>
      </c>
      <c r="K14" s="2129" t="s">
        <v>314</v>
      </c>
      <c r="L14" s="2137" t="s">
        <v>304</v>
      </c>
      <c r="M14" s="2137">
        <v>1</v>
      </c>
      <c r="N14" s="2451">
        <v>1</v>
      </c>
      <c r="O14" s="2987"/>
      <c r="P14" s="2601"/>
      <c r="Q14" s="2604"/>
      <c r="R14" s="2290">
        <f>+W14/$S$13*100</f>
        <v>14.617068911916329</v>
      </c>
      <c r="S14" s="2972"/>
      <c r="T14" s="2604"/>
      <c r="U14" s="2129" t="s">
        <v>315</v>
      </c>
      <c r="V14" s="2129" t="s">
        <v>316</v>
      </c>
      <c r="W14" s="244">
        <v>165576105.46000001</v>
      </c>
      <c r="X14" s="257">
        <v>138639959</v>
      </c>
      <c r="Y14" s="257">
        <f>138639956+3</f>
        <v>138639959</v>
      </c>
      <c r="Z14" s="245">
        <v>20</v>
      </c>
      <c r="AA14" s="2129" t="s">
        <v>310</v>
      </c>
      <c r="AB14" s="2955"/>
      <c r="AC14" s="2958"/>
      <c r="AD14" s="2955"/>
      <c r="AE14" s="2958"/>
      <c r="AF14" s="2955"/>
      <c r="AG14" s="2958"/>
      <c r="AH14" s="2955"/>
      <c r="AI14" s="2958"/>
      <c r="AJ14" s="2955"/>
      <c r="AK14" s="2958"/>
      <c r="AL14" s="2955"/>
      <c r="AM14" s="2958"/>
      <c r="AN14" s="2955"/>
      <c r="AO14" s="2958"/>
      <c r="AP14" s="2955"/>
      <c r="AQ14" s="2958"/>
      <c r="AR14" s="2955"/>
      <c r="AS14" s="2958"/>
      <c r="AT14" s="2955"/>
      <c r="AU14" s="2955"/>
      <c r="AV14" s="2955"/>
      <c r="AW14" s="2958"/>
      <c r="AX14" s="2955"/>
      <c r="AY14" s="2958"/>
      <c r="AZ14" s="2601"/>
      <c r="BA14" s="2970"/>
      <c r="BB14" s="2970"/>
      <c r="BC14" s="2966"/>
      <c r="BD14" s="2601"/>
      <c r="BE14" s="2601"/>
      <c r="BF14" s="2294">
        <v>42584</v>
      </c>
      <c r="BG14" s="2297">
        <v>42598</v>
      </c>
      <c r="BH14" s="2294">
        <v>42736</v>
      </c>
      <c r="BI14" s="2297">
        <v>42734</v>
      </c>
      <c r="BJ14" s="2290" t="s">
        <v>313</v>
      </c>
    </row>
    <row r="15" spans="1:67" s="3" customFormat="1" ht="187.5" customHeight="1" x14ac:dyDescent="0.2">
      <c r="A15" s="2977"/>
      <c r="B15" s="2980"/>
      <c r="C15" s="2980"/>
      <c r="D15" s="2977"/>
      <c r="E15" s="2977"/>
      <c r="F15" s="2983"/>
      <c r="G15" s="2626"/>
      <c r="H15" s="2626"/>
      <c r="I15" s="2626"/>
      <c r="J15" s="2137">
        <v>277</v>
      </c>
      <c r="K15" s="2129" t="s">
        <v>317</v>
      </c>
      <c r="L15" s="2137" t="s">
        <v>304</v>
      </c>
      <c r="M15" s="2137">
        <v>1</v>
      </c>
      <c r="N15" s="2451">
        <v>1</v>
      </c>
      <c r="O15" s="2988"/>
      <c r="P15" s="2636"/>
      <c r="Q15" s="2604"/>
      <c r="R15" s="2290">
        <f>+W15/$S$13*100</f>
        <v>18.49113912091925</v>
      </c>
      <c r="S15" s="2972"/>
      <c r="T15" s="2604"/>
      <c r="U15" s="2129" t="s">
        <v>318</v>
      </c>
      <c r="V15" s="2129" t="s">
        <v>319</v>
      </c>
      <c r="W15" s="244">
        <v>209459969</v>
      </c>
      <c r="X15" s="258">
        <v>176586414</v>
      </c>
      <c r="Y15" s="258">
        <v>138248628</v>
      </c>
      <c r="Z15" s="4846" t="s">
        <v>320</v>
      </c>
      <c r="AA15" s="2129" t="s">
        <v>321</v>
      </c>
      <c r="AB15" s="2956"/>
      <c r="AC15" s="2959"/>
      <c r="AD15" s="2956"/>
      <c r="AE15" s="2959"/>
      <c r="AF15" s="2956"/>
      <c r="AG15" s="2959"/>
      <c r="AH15" s="2956"/>
      <c r="AI15" s="2959"/>
      <c r="AJ15" s="2956"/>
      <c r="AK15" s="2959"/>
      <c r="AL15" s="2956"/>
      <c r="AM15" s="2959"/>
      <c r="AN15" s="2956"/>
      <c r="AO15" s="2959"/>
      <c r="AP15" s="2956"/>
      <c r="AQ15" s="2959"/>
      <c r="AR15" s="2956"/>
      <c r="AS15" s="2959"/>
      <c r="AT15" s="2956"/>
      <c r="AU15" s="2956"/>
      <c r="AV15" s="2956"/>
      <c r="AW15" s="2959"/>
      <c r="AX15" s="2956"/>
      <c r="AY15" s="2959"/>
      <c r="AZ15" s="2636"/>
      <c r="BA15" s="2971"/>
      <c r="BB15" s="2971"/>
      <c r="BC15" s="2967"/>
      <c r="BD15" s="2636"/>
      <c r="BE15" s="2636"/>
      <c r="BF15" s="2294">
        <v>42585</v>
      </c>
      <c r="BG15" s="2297">
        <v>42605</v>
      </c>
      <c r="BH15" s="2294">
        <v>42737</v>
      </c>
      <c r="BI15" s="2297">
        <v>42733</v>
      </c>
      <c r="BJ15" s="2290" t="s">
        <v>313</v>
      </c>
    </row>
    <row r="16" spans="1:67" s="3" customFormat="1" ht="185.25" x14ac:dyDescent="0.2">
      <c r="A16" s="2977"/>
      <c r="B16" s="2980"/>
      <c r="C16" s="2980"/>
      <c r="D16" s="2977"/>
      <c r="E16" s="2977"/>
      <c r="F16" s="2983"/>
      <c r="G16" s="2626"/>
      <c r="H16" s="2626"/>
      <c r="I16" s="2626"/>
      <c r="J16" s="2137">
        <v>278</v>
      </c>
      <c r="K16" s="2129" t="s">
        <v>322</v>
      </c>
      <c r="L16" s="2137" t="s">
        <v>304</v>
      </c>
      <c r="M16" s="2137">
        <v>1</v>
      </c>
      <c r="N16" s="2451">
        <v>1</v>
      </c>
      <c r="O16" s="2600" t="s">
        <v>323</v>
      </c>
      <c r="P16" s="2600">
        <v>17</v>
      </c>
      <c r="Q16" s="2604" t="s">
        <v>324</v>
      </c>
      <c r="R16" s="2290">
        <f>+W16/S16*100</f>
        <v>28.666675000000001</v>
      </c>
      <c r="S16" s="2621">
        <v>40000000</v>
      </c>
      <c r="T16" s="2604" t="s">
        <v>325</v>
      </c>
      <c r="U16" s="246" t="s">
        <v>326</v>
      </c>
      <c r="V16" s="2129" t="s">
        <v>327</v>
      </c>
      <c r="W16" s="244">
        <v>11466670</v>
      </c>
      <c r="X16" s="258">
        <v>11466670</v>
      </c>
      <c r="Y16" s="258">
        <v>0</v>
      </c>
      <c r="Z16" s="4846">
        <v>20</v>
      </c>
      <c r="AA16" s="2137" t="s">
        <v>310</v>
      </c>
      <c r="AB16" s="2947">
        <v>64149</v>
      </c>
      <c r="AC16" s="2950">
        <v>64149</v>
      </c>
      <c r="AD16" s="2947">
        <v>72224</v>
      </c>
      <c r="AE16" s="2950">
        <v>72224</v>
      </c>
      <c r="AF16" s="2947">
        <v>27477</v>
      </c>
      <c r="AG16" s="2950">
        <v>27477</v>
      </c>
      <c r="AH16" s="2947">
        <v>86843</v>
      </c>
      <c r="AI16" s="2950">
        <v>86843</v>
      </c>
      <c r="AJ16" s="2947">
        <v>236429</v>
      </c>
      <c r="AK16" s="2950">
        <v>236429</v>
      </c>
      <c r="AL16" s="2947">
        <v>81384</v>
      </c>
      <c r="AM16" s="2950">
        <v>81384</v>
      </c>
      <c r="AN16" s="2947">
        <v>13208</v>
      </c>
      <c r="AO16" s="2950">
        <v>13208</v>
      </c>
      <c r="AP16" s="2947">
        <v>1817</v>
      </c>
      <c r="AQ16" s="2950">
        <v>1817</v>
      </c>
      <c r="AR16" s="2947"/>
      <c r="AS16" s="2950"/>
      <c r="AT16" s="2947"/>
      <c r="AU16" s="2947"/>
      <c r="AV16" s="2947">
        <v>16897</v>
      </c>
      <c r="AW16" s="2950"/>
      <c r="AX16" s="2947">
        <v>81384</v>
      </c>
      <c r="AY16" s="2950"/>
      <c r="AZ16" s="2600">
        <v>6</v>
      </c>
      <c r="BA16" s="2968">
        <v>40000000</v>
      </c>
      <c r="BB16" s="2968">
        <f>+Y17+Y16</f>
        <v>28533330</v>
      </c>
      <c r="BC16" s="2619">
        <f>+BB16/BA16</f>
        <v>0.71333325000000003</v>
      </c>
      <c r="BD16" s="2600" t="s">
        <v>328</v>
      </c>
      <c r="BE16" s="2600" t="s">
        <v>329</v>
      </c>
      <c r="BF16" s="2294">
        <v>42586</v>
      </c>
      <c r="BG16" s="2297">
        <v>42734</v>
      </c>
      <c r="BH16" s="2294">
        <v>42738</v>
      </c>
      <c r="BI16" s="2297">
        <v>42734</v>
      </c>
      <c r="BJ16" s="2290" t="s">
        <v>313</v>
      </c>
    </row>
    <row r="17" spans="1:62" s="3" customFormat="1" ht="245.25" customHeight="1" x14ac:dyDescent="0.2">
      <c r="A17" s="2978"/>
      <c r="B17" s="2981"/>
      <c r="C17" s="2981"/>
      <c r="D17" s="2978"/>
      <c r="E17" s="2978"/>
      <c r="F17" s="2984"/>
      <c r="G17" s="2626"/>
      <c r="H17" s="2626"/>
      <c r="I17" s="2626"/>
      <c r="J17" s="2137">
        <v>279</v>
      </c>
      <c r="K17" s="2129" t="s">
        <v>330</v>
      </c>
      <c r="L17" s="2137" t="s">
        <v>304</v>
      </c>
      <c r="M17" s="2137">
        <v>1</v>
      </c>
      <c r="N17" s="2451">
        <v>1</v>
      </c>
      <c r="O17" s="2636"/>
      <c r="P17" s="2636"/>
      <c r="Q17" s="2604"/>
      <c r="R17" s="2290">
        <f>+W17/S16*100</f>
        <v>71.333325000000002</v>
      </c>
      <c r="S17" s="2621"/>
      <c r="T17" s="2604"/>
      <c r="U17" s="246" t="s">
        <v>331</v>
      </c>
      <c r="V17" s="2129" t="s">
        <v>332</v>
      </c>
      <c r="W17" s="244">
        <v>28533330</v>
      </c>
      <c r="X17" s="258">
        <v>28533330</v>
      </c>
      <c r="Y17" s="258">
        <v>28533330</v>
      </c>
      <c r="Z17" s="4846">
        <v>20</v>
      </c>
      <c r="AA17" s="2137" t="s">
        <v>310</v>
      </c>
      <c r="AB17" s="2948"/>
      <c r="AC17" s="2951"/>
      <c r="AD17" s="2948"/>
      <c r="AE17" s="2951"/>
      <c r="AF17" s="2948"/>
      <c r="AG17" s="2951"/>
      <c r="AH17" s="2948"/>
      <c r="AI17" s="2951"/>
      <c r="AJ17" s="2948"/>
      <c r="AK17" s="2951"/>
      <c r="AL17" s="2948"/>
      <c r="AM17" s="2951"/>
      <c r="AN17" s="2948"/>
      <c r="AO17" s="2951"/>
      <c r="AP17" s="2948"/>
      <c r="AQ17" s="2951"/>
      <c r="AR17" s="2948"/>
      <c r="AS17" s="2951"/>
      <c r="AT17" s="2948"/>
      <c r="AU17" s="2948"/>
      <c r="AV17" s="2948"/>
      <c r="AW17" s="2951"/>
      <c r="AX17" s="2948"/>
      <c r="AY17" s="2951"/>
      <c r="AZ17" s="2636"/>
      <c r="BA17" s="2968"/>
      <c r="BB17" s="2968"/>
      <c r="BC17" s="2619"/>
      <c r="BD17" s="2636"/>
      <c r="BE17" s="2636"/>
      <c r="BF17" s="2294">
        <v>42587</v>
      </c>
      <c r="BG17" s="2297">
        <v>42653</v>
      </c>
      <c r="BH17" s="2294">
        <v>42739</v>
      </c>
      <c r="BI17" s="2297">
        <v>42673</v>
      </c>
      <c r="BJ17" s="2290" t="s">
        <v>313</v>
      </c>
    </row>
    <row r="18" spans="1:62" ht="15.75" thickBot="1" x14ac:dyDescent="0.3">
      <c r="A18" s="4"/>
      <c r="B18" s="4"/>
      <c r="C18" s="4"/>
      <c r="D18" s="4"/>
      <c r="E18" s="4"/>
      <c r="F18" s="4"/>
      <c r="G18" s="4"/>
      <c r="H18" s="4"/>
      <c r="I18" s="4"/>
      <c r="J18" s="4"/>
      <c r="L18" s="2197"/>
      <c r="M18" s="2197"/>
      <c r="N18" s="2197"/>
      <c r="P18" s="2197"/>
      <c r="S18" s="247" t="s">
        <v>197</v>
      </c>
      <c r="AB18" s="2973"/>
      <c r="AC18" s="2953"/>
      <c r="AD18" s="2949"/>
      <c r="AE18" s="2952"/>
      <c r="AF18" s="2949"/>
      <c r="AG18" s="2952"/>
      <c r="AH18" s="2949"/>
      <c r="AI18" s="2952"/>
      <c r="AJ18" s="2949"/>
      <c r="AK18" s="2952"/>
      <c r="AL18" s="2949"/>
      <c r="AM18" s="2952"/>
      <c r="AN18" s="2949"/>
      <c r="AO18" s="2952"/>
      <c r="AP18" s="2949"/>
      <c r="AQ18" s="2952"/>
      <c r="AR18" s="2949"/>
      <c r="AS18" s="2952"/>
      <c r="AT18" s="2949"/>
      <c r="AU18" s="2949"/>
      <c r="AV18" s="2949"/>
      <c r="AW18" s="2952"/>
      <c r="AX18" s="2949"/>
      <c r="AY18" s="2952"/>
      <c r="BJ18" s="2456"/>
    </row>
    <row r="19" spans="1:62" ht="28.5" customHeight="1" thickBot="1" x14ac:dyDescent="0.25">
      <c r="A19" s="2960" t="s">
        <v>119</v>
      </c>
      <c r="B19" s="2961"/>
      <c r="C19" s="2961"/>
      <c r="D19" s="2961"/>
      <c r="E19" s="2961"/>
      <c r="F19" s="2961"/>
      <c r="G19" s="2961"/>
      <c r="H19" s="2961"/>
      <c r="I19" s="2961"/>
      <c r="J19" s="2961"/>
      <c r="K19" s="2961"/>
      <c r="L19" s="2961"/>
      <c r="M19" s="2961"/>
      <c r="N19" s="2961"/>
      <c r="O19" s="2961"/>
      <c r="P19" s="2961"/>
      <c r="Q19" s="2961"/>
      <c r="R19" s="2962"/>
      <c r="S19" s="250">
        <f>SUM(S13:S17)</f>
        <v>1172758602</v>
      </c>
      <c r="T19" s="83"/>
      <c r="U19" s="82"/>
      <c r="V19" s="77"/>
      <c r="W19" s="251">
        <f>SUM(W13:W17)</f>
        <v>1172758602.46</v>
      </c>
      <c r="X19" s="251">
        <f>SUM(X13:X17)</f>
        <v>1104808555</v>
      </c>
      <c r="Y19" s="251">
        <f>SUM(Y13:Y17)</f>
        <v>1006237190</v>
      </c>
      <c r="Z19" s="252"/>
      <c r="AA19" s="76"/>
      <c r="AB19" s="78"/>
      <c r="AC19" s="624"/>
      <c r="AD19" s="78"/>
      <c r="AE19" s="624"/>
      <c r="AF19" s="78"/>
      <c r="AG19" s="624"/>
      <c r="AH19" s="78"/>
      <c r="AI19" s="624"/>
      <c r="AJ19" s="78"/>
      <c r="AK19" s="624"/>
      <c r="AL19" s="78"/>
      <c r="AM19" s="624"/>
      <c r="AN19" s="78"/>
      <c r="AO19" s="624"/>
      <c r="AP19" s="78"/>
      <c r="AQ19" s="624"/>
      <c r="AR19" s="78"/>
      <c r="AS19" s="624"/>
      <c r="AT19" s="78"/>
      <c r="AU19" s="78"/>
      <c r="AV19" s="78"/>
      <c r="AW19" s="78"/>
      <c r="AX19" s="78"/>
      <c r="AY19" s="78"/>
      <c r="AZ19" s="78"/>
      <c r="BA19" s="261">
        <f>SUM(BA13:BA17)</f>
        <v>1104808555</v>
      </c>
      <c r="BB19" s="261">
        <f>SUM(BB13:BB17)</f>
        <v>1006237190</v>
      </c>
      <c r="BC19" s="78"/>
      <c r="BD19" s="78"/>
      <c r="BE19" s="78"/>
      <c r="BF19" s="79"/>
      <c r="BG19" s="79"/>
      <c r="BH19" s="80"/>
      <c r="BI19" s="80"/>
      <c r="BJ19" s="81"/>
    </row>
    <row r="20" spans="1:62" ht="15" x14ac:dyDescent="0.25">
      <c r="L20" s="2197"/>
      <c r="M20" s="2197"/>
      <c r="N20" s="2197"/>
      <c r="P20" s="2197"/>
      <c r="S20" s="1902"/>
      <c r="BJ20" s="2456"/>
    </row>
    <row r="21" spans="1:62" ht="26.25" customHeight="1" x14ac:dyDescent="0.2"/>
    <row r="22" spans="1:62" ht="21.75" customHeight="1" x14ac:dyDescent="0.25">
      <c r="L22" s="2197"/>
      <c r="M22" s="2197"/>
      <c r="N22" s="2197"/>
      <c r="P22" s="2197"/>
      <c r="S22" s="262"/>
      <c r="BJ22" s="2456"/>
    </row>
    <row r="23" spans="1:62" x14ac:dyDescent="0.2">
      <c r="L23" s="2197"/>
      <c r="M23" s="2197"/>
      <c r="N23" s="2197"/>
      <c r="P23" s="2197"/>
      <c r="S23" s="31"/>
      <c r="BJ23" s="2456"/>
    </row>
    <row r="24" spans="1:62" ht="32.25" customHeight="1" x14ac:dyDescent="0.25">
      <c r="E24" s="2963" t="s">
        <v>333</v>
      </c>
      <c r="F24" s="2963"/>
      <c r="G24" s="2963"/>
      <c r="H24" s="2963"/>
      <c r="I24" s="2963"/>
      <c r="J24" s="2963"/>
      <c r="K24" s="2963"/>
      <c r="L24" s="2197"/>
      <c r="M24" s="2197"/>
      <c r="N24" s="2197"/>
      <c r="P24" s="2197"/>
      <c r="S24" s="31"/>
      <c r="BJ24" s="2456"/>
    </row>
    <row r="25" spans="1:62" x14ac:dyDescent="0.2">
      <c r="E25" s="2964" t="s">
        <v>334</v>
      </c>
      <c r="F25" s="2964"/>
      <c r="G25" s="2964"/>
      <c r="H25" s="2964"/>
      <c r="I25" s="2964"/>
      <c r="J25" s="2964"/>
      <c r="K25" s="2964"/>
      <c r="L25" s="2197"/>
      <c r="M25" s="2197"/>
      <c r="N25" s="2197"/>
      <c r="P25" s="2197"/>
      <c r="Z25" s="2965"/>
      <c r="AA25" s="2965"/>
      <c r="BJ25" s="2456"/>
    </row>
  </sheetData>
  <sheetProtection algorithmName="SHA-512" hashValue="RJvqC0axdmeEsxe3TCSnQGVp2rbsDLoOmtdBd0o6iKlELaq+kE1ra67BUEhAc0udKm4DZpy1CF2l5qXCzipT1Q==" saltValue="bVQtLBez2kV8+qJs0saA2w==" spinCount="100000" sheet="1" objects="1" scenarios="1"/>
  <mergeCells count="132">
    <mergeCell ref="A1:BF4"/>
    <mergeCell ref="A5:M6"/>
    <mergeCell ref="Q5:BJ5"/>
    <mergeCell ref="Q6:AA6"/>
    <mergeCell ref="AB6:AY6"/>
    <mergeCell ref="BF6:BJ6"/>
    <mergeCell ref="U7:U9"/>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9"/>
    <mergeCell ref="AB8:AC8"/>
    <mergeCell ref="AD8:AE8"/>
    <mergeCell ref="AF8:AG8"/>
    <mergeCell ref="AH8:AI8"/>
    <mergeCell ref="AJ8:AK8"/>
    <mergeCell ref="AL8:AM8"/>
    <mergeCell ref="AN8:AO8"/>
    <mergeCell ref="AB7:AM7"/>
    <mergeCell ref="AN7:AY7"/>
    <mergeCell ref="AZ7:BE7"/>
    <mergeCell ref="AP8:AQ8"/>
    <mergeCell ref="AR8:AS8"/>
    <mergeCell ref="AT8:AU8"/>
    <mergeCell ref="AV8:AW8"/>
    <mergeCell ref="AB16:AB18"/>
    <mergeCell ref="BE8:BE9"/>
    <mergeCell ref="A11:A17"/>
    <mergeCell ref="B11:C17"/>
    <mergeCell ref="D12:D17"/>
    <mergeCell ref="E12:F17"/>
    <mergeCell ref="H12:K12"/>
    <mergeCell ref="G13:G17"/>
    <mergeCell ref="H13:I17"/>
    <mergeCell ref="O13:O15"/>
    <mergeCell ref="P13:P15"/>
    <mergeCell ref="AX8:AY8"/>
    <mergeCell ref="AZ8:AZ9"/>
    <mergeCell ref="BA8:BA9"/>
    <mergeCell ref="BB8:BB9"/>
    <mergeCell ref="BC8:BC9"/>
    <mergeCell ref="BD8:BD9"/>
    <mergeCell ref="W7:Y8"/>
    <mergeCell ref="Z7:Z9"/>
    <mergeCell ref="AA7:AA9"/>
    <mergeCell ref="Q7:Q9"/>
    <mergeCell ref="R7:R9"/>
    <mergeCell ref="S7:S9"/>
    <mergeCell ref="T7:T9"/>
    <mergeCell ref="AE13:AE15"/>
    <mergeCell ref="AF13:AF15"/>
    <mergeCell ref="AG13:AG15"/>
    <mergeCell ref="AH13:AH15"/>
    <mergeCell ref="Q13:Q15"/>
    <mergeCell ref="S13:S15"/>
    <mergeCell ref="T13:T15"/>
    <mergeCell ref="AB13:AB15"/>
    <mergeCell ref="AC13:AC15"/>
    <mergeCell ref="AD13:AD15"/>
    <mergeCell ref="BC16:BC17"/>
    <mergeCell ref="BD16:BD17"/>
    <mergeCell ref="BE16:BE17"/>
    <mergeCell ref="A19:R19"/>
    <mergeCell ref="E24:K24"/>
    <mergeCell ref="E25:K25"/>
    <mergeCell ref="Z25:AA25"/>
    <mergeCell ref="BC13:BC15"/>
    <mergeCell ref="BD13:BD15"/>
    <mergeCell ref="BE13:BE15"/>
    <mergeCell ref="O16:O17"/>
    <mergeCell ref="P16:P17"/>
    <mergeCell ref="Q16:Q17"/>
    <mergeCell ref="S16:S17"/>
    <mergeCell ref="T16:T17"/>
    <mergeCell ref="AZ16:AZ17"/>
    <mergeCell ref="BA16:BA17"/>
    <mergeCell ref="AZ13:AZ15"/>
    <mergeCell ref="BA13:BA15"/>
    <mergeCell ref="BB13:BB15"/>
    <mergeCell ref="BB16:BB17"/>
    <mergeCell ref="AQ13:AQ15"/>
    <mergeCell ref="AR13:AR15"/>
    <mergeCell ref="AS13:AS15"/>
    <mergeCell ref="AU13:AU15"/>
    <mergeCell ref="AV13:AV15"/>
    <mergeCell ref="AW13:AW15"/>
    <mergeCell ref="AX13:AX15"/>
    <mergeCell ref="AY13:AY15"/>
    <mergeCell ref="AI13:AI15"/>
    <mergeCell ref="AJ13:AJ15"/>
    <mergeCell ref="AK13:AK15"/>
    <mergeCell ref="AL13:AL15"/>
    <mergeCell ref="AM13:AM15"/>
    <mergeCell ref="AN13:AN15"/>
    <mergeCell ref="AT13:AT15"/>
    <mergeCell ref="AO13:AO15"/>
    <mergeCell ref="AP13:AP15"/>
    <mergeCell ref="AC16:AC18"/>
    <mergeCell ref="AD16:AD18"/>
    <mergeCell ref="AE16:AE18"/>
    <mergeCell ref="AF16:AF18"/>
    <mergeCell ref="AG16:AG18"/>
    <mergeCell ref="AH16:AH18"/>
    <mergeCell ref="AQ16:AQ18"/>
    <mergeCell ref="AR16:AR18"/>
    <mergeCell ref="AS16:AS18"/>
    <mergeCell ref="AO16:AO18"/>
    <mergeCell ref="AP16:AP18"/>
    <mergeCell ref="AU16:AU18"/>
    <mergeCell ref="AV16:AV18"/>
    <mergeCell ref="AW16:AW18"/>
    <mergeCell ref="AX16:AX18"/>
    <mergeCell ref="AY16:AY18"/>
    <mergeCell ref="AI16:AI18"/>
    <mergeCell ref="AJ16:AJ18"/>
    <mergeCell ref="AK16:AK18"/>
    <mergeCell ref="AL16:AL18"/>
    <mergeCell ref="AM16:AM18"/>
    <mergeCell ref="AN16:AN18"/>
    <mergeCell ref="AT16:AT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PA43"/>
  <sheetViews>
    <sheetView topLeftCell="AT1" zoomScale="60" zoomScaleNormal="60" workbookViewId="0">
      <pane ySplit="9" topLeftCell="A27" activePane="bottomLeft" state="frozen"/>
      <selection pane="bottomLeft" activeCell="BJ28" sqref="BJ28"/>
    </sheetView>
  </sheetViews>
  <sheetFormatPr baseColWidth="10" defaultColWidth="11.42578125" defaultRowHeight="14.25" x14ac:dyDescent="0.2"/>
  <cols>
    <col min="1" max="1" width="13.140625" style="3" customWidth="1"/>
    <col min="2" max="2" width="4" style="3" customWidth="1"/>
    <col min="3" max="3" width="15.5703125" style="3" customWidth="1"/>
    <col min="4" max="4" width="12.5703125" style="3" customWidth="1"/>
    <col min="5" max="5" width="7.42578125" style="3" customWidth="1"/>
    <col min="6" max="6" width="11.85546875" style="3" customWidth="1"/>
    <col min="7" max="7" width="14.140625" style="3" customWidth="1"/>
    <col min="8" max="8" width="8.5703125" style="7" customWidth="1"/>
    <col min="9" max="9" width="16.140625" style="7" customWidth="1"/>
    <col min="10" max="10" width="13.5703125" style="414" customWidth="1"/>
    <col min="11" max="11" width="29.140625" style="7" customWidth="1"/>
    <col min="12" max="12" width="19.42578125" style="414" customWidth="1"/>
    <col min="13" max="13" width="11" style="414" customWidth="1"/>
    <col min="14" max="14" width="11" style="492" customWidth="1"/>
    <col min="15" max="15" width="32.140625" style="7" customWidth="1"/>
    <col min="16" max="16" width="14.7109375" style="414" customWidth="1"/>
    <col min="17" max="17" width="27" style="7" customWidth="1"/>
    <col min="18" max="18" width="13.140625" style="414" customWidth="1"/>
    <col min="19" max="19" width="21.7109375" style="7" customWidth="1"/>
    <col min="20" max="20" width="26.140625" style="7" customWidth="1"/>
    <col min="21" max="21" width="27.5703125" style="7" customWidth="1"/>
    <col min="22" max="22" width="28.28515625" style="7" customWidth="1"/>
    <col min="23" max="23" width="26.42578125" style="7" customWidth="1"/>
    <col min="24" max="24" width="26.42578125" style="494" customWidth="1"/>
    <col min="25" max="25" width="26.28515625" style="494" customWidth="1"/>
    <col min="26" max="26" width="12" style="495" customWidth="1"/>
    <col min="27" max="27" width="15.85546875" style="7" customWidth="1"/>
    <col min="28" max="28" width="10.140625" style="4" customWidth="1"/>
    <col min="29" max="29" width="10.140625" style="123" customWidth="1"/>
    <col min="30" max="30" width="10.140625" style="4" customWidth="1"/>
    <col min="31" max="31" width="10.140625" style="123" customWidth="1"/>
    <col min="32" max="32" width="10.140625" style="4" customWidth="1"/>
    <col min="33" max="33" width="10.140625" style="123" customWidth="1"/>
    <col min="34" max="34" width="10.140625" style="4" customWidth="1"/>
    <col min="35" max="35" width="10.140625" style="123" customWidth="1"/>
    <col min="36" max="36" width="10.140625" style="4" customWidth="1"/>
    <col min="37" max="37" width="10.140625" style="123" customWidth="1"/>
    <col min="38" max="38" width="10.140625" style="4" customWidth="1"/>
    <col min="39" max="39" width="10.140625" style="123" customWidth="1"/>
    <col min="40" max="40" width="10.140625" style="4" customWidth="1"/>
    <col min="41" max="41" width="10.140625" style="123" customWidth="1"/>
    <col min="42" max="42" width="10.140625" style="4" customWidth="1"/>
    <col min="43" max="43" width="10.140625" style="123" customWidth="1"/>
    <col min="44" max="44" width="10.140625" style="4" customWidth="1"/>
    <col min="45" max="45" width="10.140625" style="123" customWidth="1"/>
    <col min="46" max="46" width="10.140625" style="4" customWidth="1"/>
    <col min="47" max="47" width="10.140625" style="123" customWidth="1"/>
    <col min="48" max="48" width="10.140625" style="4" customWidth="1"/>
    <col min="49" max="49" width="10.140625" style="123" customWidth="1"/>
    <col min="50" max="50" width="10.140625" style="4" customWidth="1"/>
    <col min="51" max="51" width="13.28515625" style="123" customWidth="1"/>
    <col min="52" max="52" width="20.7109375" style="496" customWidth="1"/>
    <col min="53" max="53" width="23.42578125" style="496" customWidth="1"/>
    <col min="54" max="54" width="23.140625" style="496" customWidth="1"/>
    <col min="55" max="55" width="18.5703125" style="496" customWidth="1"/>
    <col min="56" max="57" width="25.28515625" style="496" customWidth="1"/>
    <col min="58" max="58" width="22.7109375" style="21" customWidth="1"/>
    <col min="59" max="59" width="22.7109375" style="418" customWidth="1"/>
    <col min="60" max="60" width="22.7109375" style="22" customWidth="1"/>
    <col min="61" max="61" width="22.7109375" style="419" customWidth="1"/>
    <col min="62" max="62" width="28.7109375" style="197" customWidth="1"/>
    <col min="63" max="63" width="31.42578125" style="20" customWidth="1"/>
    <col min="64" max="64" width="15.7109375" style="20" bestFit="1" customWidth="1"/>
    <col min="65" max="16384" width="11.42578125" style="4"/>
  </cols>
  <sheetData>
    <row r="1" spans="1:402" ht="20.100000000000001" customHeight="1" x14ac:dyDescent="0.25">
      <c r="A1" s="3013" t="s">
        <v>0</v>
      </c>
      <c r="B1" s="3014"/>
      <c r="C1" s="3014"/>
      <c r="D1" s="3014"/>
      <c r="E1" s="3014"/>
      <c r="F1" s="3014"/>
      <c r="G1" s="3014"/>
      <c r="H1" s="3014"/>
      <c r="I1" s="3014"/>
      <c r="J1" s="3014"/>
      <c r="K1" s="3014"/>
      <c r="L1" s="3014"/>
      <c r="M1" s="3014"/>
      <c r="N1" s="3014"/>
      <c r="O1" s="3014"/>
      <c r="P1" s="3014"/>
      <c r="Q1" s="3014"/>
      <c r="R1" s="3014"/>
      <c r="S1" s="3014"/>
      <c r="T1" s="3014"/>
      <c r="U1" s="3014"/>
      <c r="V1" s="3014"/>
      <c r="W1" s="3014"/>
      <c r="X1" s="3014"/>
      <c r="Y1" s="3014"/>
      <c r="Z1" s="3014"/>
      <c r="AA1" s="3014"/>
      <c r="AB1" s="3014"/>
      <c r="AC1" s="3014"/>
      <c r="AD1" s="3014"/>
      <c r="AE1" s="3014"/>
      <c r="AF1" s="3014"/>
      <c r="AG1" s="3014"/>
      <c r="AH1" s="3014"/>
      <c r="AI1" s="3014"/>
      <c r="AJ1" s="3014"/>
      <c r="AK1" s="3014"/>
      <c r="AL1" s="3014"/>
      <c r="AM1" s="3014"/>
      <c r="AN1" s="3014"/>
      <c r="AO1" s="3014"/>
      <c r="AP1" s="3014"/>
      <c r="AQ1" s="3014"/>
      <c r="AR1" s="3014"/>
      <c r="AS1" s="3014"/>
      <c r="AT1" s="3014"/>
      <c r="AU1" s="3014"/>
      <c r="AV1" s="3014"/>
      <c r="AW1" s="3014"/>
      <c r="AX1" s="3014"/>
      <c r="AY1" s="3014"/>
      <c r="AZ1" s="3014"/>
      <c r="BA1" s="3014"/>
      <c r="BB1" s="3014"/>
      <c r="BC1" s="3014"/>
      <c r="BD1" s="3014"/>
      <c r="BE1" s="3014"/>
      <c r="BF1" s="3015"/>
      <c r="BG1" s="155"/>
      <c r="BI1" s="1895" t="s">
        <v>1</v>
      </c>
      <c r="BJ1" s="1895" t="s">
        <v>2</v>
      </c>
    </row>
    <row r="2" spans="1:402" ht="20.100000000000001" customHeight="1" x14ac:dyDescent="0.25">
      <c r="A2" s="3016"/>
      <c r="B2" s="3017"/>
      <c r="C2" s="3017"/>
      <c r="D2" s="3017"/>
      <c r="E2" s="3017"/>
      <c r="F2" s="3017"/>
      <c r="G2" s="3017"/>
      <c r="H2" s="3017"/>
      <c r="I2" s="3017"/>
      <c r="J2" s="3017"/>
      <c r="K2" s="3017"/>
      <c r="L2" s="3017"/>
      <c r="M2" s="3017"/>
      <c r="N2" s="3017"/>
      <c r="O2" s="3017"/>
      <c r="P2" s="3017"/>
      <c r="Q2" s="3017"/>
      <c r="R2" s="3017"/>
      <c r="S2" s="3017"/>
      <c r="T2" s="3017"/>
      <c r="U2" s="3017"/>
      <c r="V2" s="3017"/>
      <c r="W2" s="3017"/>
      <c r="X2" s="3017"/>
      <c r="Y2" s="3017"/>
      <c r="Z2" s="3017"/>
      <c r="AA2" s="3017"/>
      <c r="AB2" s="3017"/>
      <c r="AC2" s="3017"/>
      <c r="AD2" s="3017"/>
      <c r="AE2" s="3017"/>
      <c r="AF2" s="3017"/>
      <c r="AG2" s="3017"/>
      <c r="AH2" s="3017"/>
      <c r="AI2" s="3017"/>
      <c r="AJ2" s="3017"/>
      <c r="AK2" s="3017"/>
      <c r="AL2" s="3017"/>
      <c r="AM2" s="3017"/>
      <c r="AN2" s="3017"/>
      <c r="AO2" s="3017"/>
      <c r="AP2" s="3017"/>
      <c r="AQ2" s="3017"/>
      <c r="AR2" s="3017"/>
      <c r="AS2" s="3017"/>
      <c r="AT2" s="3017"/>
      <c r="AU2" s="3017"/>
      <c r="AV2" s="3017"/>
      <c r="AW2" s="3017"/>
      <c r="AX2" s="3017"/>
      <c r="AY2" s="3017"/>
      <c r="AZ2" s="3017"/>
      <c r="BA2" s="3017"/>
      <c r="BB2" s="3017"/>
      <c r="BC2" s="3017"/>
      <c r="BD2" s="3017"/>
      <c r="BE2" s="3017"/>
      <c r="BF2" s="3018"/>
      <c r="BG2" s="1892"/>
      <c r="BI2" s="1896" t="s">
        <v>3</v>
      </c>
      <c r="BJ2" s="1897">
        <v>5</v>
      </c>
    </row>
    <row r="3" spans="1:402" ht="12" customHeight="1" x14ac:dyDescent="0.25">
      <c r="A3" s="3016"/>
      <c r="B3" s="3017"/>
      <c r="C3" s="3017"/>
      <c r="D3" s="3017"/>
      <c r="E3" s="3017"/>
      <c r="F3" s="3017"/>
      <c r="G3" s="3017"/>
      <c r="H3" s="3017"/>
      <c r="I3" s="3017"/>
      <c r="J3" s="3017"/>
      <c r="K3" s="3017"/>
      <c r="L3" s="3017"/>
      <c r="M3" s="3017"/>
      <c r="N3" s="3017"/>
      <c r="O3" s="3017"/>
      <c r="P3" s="3017"/>
      <c r="Q3" s="3017"/>
      <c r="R3" s="3017"/>
      <c r="S3" s="3017"/>
      <c r="T3" s="3017"/>
      <c r="U3" s="3017"/>
      <c r="V3" s="3017"/>
      <c r="W3" s="3017"/>
      <c r="X3" s="3017"/>
      <c r="Y3" s="3017"/>
      <c r="Z3" s="3017"/>
      <c r="AA3" s="3017"/>
      <c r="AB3" s="3017"/>
      <c r="AC3" s="3017"/>
      <c r="AD3" s="3017"/>
      <c r="AE3" s="3017"/>
      <c r="AF3" s="3017"/>
      <c r="AG3" s="3017"/>
      <c r="AH3" s="3017"/>
      <c r="AI3" s="3017"/>
      <c r="AJ3" s="3017"/>
      <c r="AK3" s="3017"/>
      <c r="AL3" s="3017"/>
      <c r="AM3" s="3017"/>
      <c r="AN3" s="3017"/>
      <c r="AO3" s="3017"/>
      <c r="AP3" s="3017"/>
      <c r="AQ3" s="3017"/>
      <c r="AR3" s="3017"/>
      <c r="AS3" s="3017"/>
      <c r="AT3" s="3017"/>
      <c r="AU3" s="3017"/>
      <c r="AV3" s="3017"/>
      <c r="AW3" s="3017"/>
      <c r="AX3" s="3017"/>
      <c r="AY3" s="3017"/>
      <c r="AZ3" s="3017"/>
      <c r="BA3" s="3017"/>
      <c r="BB3" s="3017"/>
      <c r="BC3" s="3017"/>
      <c r="BD3" s="3017"/>
      <c r="BE3" s="3017"/>
      <c r="BF3" s="3018"/>
      <c r="BG3" s="1892"/>
      <c r="BI3" s="1895" t="s">
        <v>4</v>
      </c>
      <c r="BJ3" s="1898" t="s">
        <v>335</v>
      </c>
    </row>
    <row r="4" spans="1:402" ht="14.25" customHeight="1" x14ac:dyDescent="0.2">
      <c r="A4" s="3016"/>
      <c r="B4" s="3017"/>
      <c r="C4" s="3017"/>
      <c r="D4" s="3017"/>
      <c r="E4" s="3017"/>
      <c r="F4" s="3017"/>
      <c r="G4" s="3017"/>
      <c r="H4" s="3017"/>
      <c r="I4" s="3017"/>
      <c r="J4" s="3017"/>
      <c r="K4" s="3017"/>
      <c r="L4" s="3017"/>
      <c r="M4" s="3017"/>
      <c r="N4" s="3017"/>
      <c r="O4" s="3017"/>
      <c r="P4" s="3017"/>
      <c r="Q4" s="3017"/>
      <c r="R4" s="3017"/>
      <c r="S4" s="3017"/>
      <c r="T4" s="3017"/>
      <c r="U4" s="3017"/>
      <c r="V4" s="3017"/>
      <c r="W4" s="3017"/>
      <c r="X4" s="3017"/>
      <c r="Y4" s="3017"/>
      <c r="Z4" s="3017"/>
      <c r="AA4" s="3017"/>
      <c r="AB4" s="3017"/>
      <c r="AC4" s="3017"/>
      <c r="AD4" s="3017"/>
      <c r="AE4" s="3017"/>
      <c r="AF4" s="3017"/>
      <c r="AG4" s="3017"/>
      <c r="AH4" s="3017"/>
      <c r="AI4" s="3017"/>
      <c r="AJ4" s="3017"/>
      <c r="AK4" s="3017"/>
      <c r="AL4" s="3017"/>
      <c r="AM4" s="3017"/>
      <c r="AN4" s="3017"/>
      <c r="AO4" s="3017"/>
      <c r="AP4" s="3017"/>
      <c r="AQ4" s="3017"/>
      <c r="AR4" s="3017"/>
      <c r="AS4" s="3017"/>
      <c r="AT4" s="3017"/>
      <c r="AU4" s="3017"/>
      <c r="AV4" s="3017"/>
      <c r="AW4" s="3017"/>
      <c r="AX4" s="3017"/>
      <c r="AY4" s="3017"/>
      <c r="AZ4" s="3017"/>
      <c r="BA4" s="3017"/>
      <c r="BB4" s="3017"/>
      <c r="BC4" s="3017"/>
      <c r="BD4" s="3017"/>
      <c r="BE4" s="3017"/>
      <c r="BF4" s="3018"/>
      <c r="BG4" s="1892"/>
      <c r="BI4" s="679" t="s">
        <v>6</v>
      </c>
      <c r="BJ4" s="1899" t="s">
        <v>7</v>
      </c>
    </row>
    <row r="5" spans="1:402"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c r="BK5" s="4"/>
      <c r="BL5" s="4"/>
    </row>
    <row r="6" spans="1:402" ht="14.45" customHeight="1" x14ac:dyDescent="0.2">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c r="BK6" s="4"/>
      <c r="BL6" s="4"/>
    </row>
    <row r="7" spans="1:402" ht="26.25" customHeight="1" x14ac:dyDescent="0.2">
      <c r="A7" s="3019" t="s">
        <v>336</v>
      </c>
      <c r="B7" s="3022" t="s">
        <v>12</v>
      </c>
      <c r="C7" s="3023"/>
      <c r="D7" s="3028" t="s">
        <v>336</v>
      </c>
      <c r="E7" s="3022" t="s">
        <v>13</v>
      </c>
      <c r="F7" s="3023"/>
      <c r="G7" s="3028" t="s">
        <v>336</v>
      </c>
      <c r="H7" s="3022" t="s">
        <v>14</v>
      </c>
      <c r="I7" s="3023"/>
      <c r="J7" s="3028" t="s">
        <v>336</v>
      </c>
      <c r="K7" s="3028" t="s">
        <v>15</v>
      </c>
      <c r="L7" s="3028" t="s">
        <v>16</v>
      </c>
      <c r="M7" s="3037" t="s">
        <v>17</v>
      </c>
      <c r="N7" s="3037"/>
      <c r="O7" s="3028" t="s">
        <v>18</v>
      </c>
      <c r="P7" s="3028" t="s">
        <v>19</v>
      </c>
      <c r="Q7" s="3028" t="s">
        <v>9</v>
      </c>
      <c r="R7" s="3028" t="s">
        <v>20</v>
      </c>
      <c r="S7" s="3028" t="s">
        <v>21</v>
      </c>
      <c r="T7" s="3028" t="s">
        <v>22</v>
      </c>
      <c r="U7" s="3028" t="s">
        <v>23</v>
      </c>
      <c r="V7" s="3028" t="s">
        <v>24</v>
      </c>
      <c r="W7" s="3022" t="s">
        <v>21</v>
      </c>
      <c r="X7" s="3070"/>
      <c r="Y7" s="3023"/>
      <c r="Z7" s="3072" t="s">
        <v>11</v>
      </c>
      <c r="AA7" s="3028" t="s">
        <v>25</v>
      </c>
      <c r="AB7" s="3058" t="s">
        <v>26</v>
      </c>
      <c r="AC7" s="3059"/>
      <c r="AD7" s="3059"/>
      <c r="AE7" s="3059"/>
      <c r="AF7" s="3059"/>
      <c r="AG7" s="3059"/>
      <c r="AH7" s="3059"/>
      <c r="AI7" s="3059"/>
      <c r="AJ7" s="3059"/>
      <c r="AK7" s="3059"/>
      <c r="AL7" s="3059"/>
      <c r="AM7" s="3060"/>
      <c r="AN7" s="3031" t="s">
        <v>27</v>
      </c>
      <c r="AO7" s="3031"/>
      <c r="AP7" s="3031"/>
      <c r="AQ7" s="3031"/>
      <c r="AR7" s="3031"/>
      <c r="AS7" s="3031"/>
      <c r="AT7" s="3031"/>
      <c r="AU7" s="3031"/>
      <c r="AV7" s="3031"/>
      <c r="AW7" s="3031"/>
      <c r="AX7" s="3031"/>
      <c r="AY7" s="3031"/>
      <c r="AZ7" s="3031" t="s">
        <v>28</v>
      </c>
      <c r="BA7" s="3031"/>
      <c r="BB7" s="3031"/>
      <c r="BC7" s="3031"/>
      <c r="BD7" s="3031"/>
      <c r="BE7" s="3031"/>
      <c r="BF7" s="3032" t="s">
        <v>29</v>
      </c>
      <c r="BG7" s="3033"/>
      <c r="BH7" s="3032" t="s">
        <v>30</v>
      </c>
      <c r="BI7" s="3033"/>
      <c r="BJ7" s="3036" t="s">
        <v>31</v>
      </c>
    </row>
    <row r="8" spans="1:402" ht="38.25" customHeight="1" x14ac:dyDescent="0.2">
      <c r="A8" s="3020"/>
      <c r="B8" s="3024"/>
      <c r="C8" s="3025"/>
      <c r="D8" s="3029"/>
      <c r="E8" s="3024"/>
      <c r="F8" s="3025"/>
      <c r="G8" s="3029"/>
      <c r="H8" s="3024"/>
      <c r="I8" s="3025"/>
      <c r="J8" s="3029"/>
      <c r="K8" s="3029"/>
      <c r="L8" s="3029"/>
      <c r="M8" s="3037"/>
      <c r="N8" s="3037"/>
      <c r="O8" s="3029"/>
      <c r="P8" s="3029"/>
      <c r="Q8" s="3029"/>
      <c r="R8" s="3029"/>
      <c r="S8" s="3029"/>
      <c r="T8" s="3029"/>
      <c r="U8" s="3029"/>
      <c r="V8" s="3029"/>
      <c r="W8" s="3026"/>
      <c r="X8" s="3071"/>
      <c r="Y8" s="3027"/>
      <c r="Z8" s="3073"/>
      <c r="AA8" s="3029"/>
      <c r="AB8" s="3037" t="s">
        <v>32</v>
      </c>
      <c r="AC8" s="3037"/>
      <c r="AD8" s="3038" t="s">
        <v>33</v>
      </c>
      <c r="AE8" s="3038"/>
      <c r="AF8" s="3037" t="s">
        <v>34</v>
      </c>
      <c r="AG8" s="3037"/>
      <c r="AH8" s="3037" t="s">
        <v>35</v>
      </c>
      <c r="AI8" s="3037"/>
      <c r="AJ8" s="3037" t="s">
        <v>36</v>
      </c>
      <c r="AK8" s="3037"/>
      <c r="AL8" s="3037" t="s">
        <v>37</v>
      </c>
      <c r="AM8" s="3037"/>
      <c r="AN8" s="3037" t="s">
        <v>38</v>
      </c>
      <c r="AO8" s="3037"/>
      <c r="AP8" s="3037" t="s">
        <v>39</v>
      </c>
      <c r="AQ8" s="3037"/>
      <c r="AR8" s="3037" t="s">
        <v>40</v>
      </c>
      <c r="AS8" s="3037"/>
      <c r="AT8" s="3037" t="s">
        <v>41</v>
      </c>
      <c r="AU8" s="3037"/>
      <c r="AV8" s="3037" t="s">
        <v>42</v>
      </c>
      <c r="AW8" s="3037"/>
      <c r="AX8" s="3037" t="s">
        <v>43</v>
      </c>
      <c r="AY8" s="3037"/>
      <c r="AZ8" s="3075" t="s">
        <v>44</v>
      </c>
      <c r="BA8" s="3076" t="s">
        <v>45</v>
      </c>
      <c r="BB8" s="3077" t="s">
        <v>46</v>
      </c>
      <c r="BC8" s="3078" t="s">
        <v>47</v>
      </c>
      <c r="BD8" s="3075" t="s">
        <v>48</v>
      </c>
      <c r="BE8" s="3086" t="s">
        <v>49</v>
      </c>
      <c r="BF8" s="3034"/>
      <c r="BG8" s="3035"/>
      <c r="BH8" s="3034"/>
      <c r="BI8" s="3035"/>
      <c r="BJ8" s="3036"/>
    </row>
    <row r="9" spans="1:402" ht="39.75" customHeight="1" x14ac:dyDescent="0.2">
      <c r="A9" s="3021"/>
      <c r="B9" s="3026"/>
      <c r="C9" s="3027"/>
      <c r="D9" s="3030"/>
      <c r="E9" s="3026"/>
      <c r="F9" s="3027"/>
      <c r="G9" s="3030"/>
      <c r="H9" s="3026"/>
      <c r="I9" s="3027"/>
      <c r="J9" s="3030"/>
      <c r="K9" s="3030"/>
      <c r="L9" s="3030"/>
      <c r="M9" s="2216" t="s">
        <v>50</v>
      </c>
      <c r="N9" s="420" t="s">
        <v>51</v>
      </c>
      <c r="O9" s="3030"/>
      <c r="P9" s="3030"/>
      <c r="Q9" s="3030"/>
      <c r="R9" s="3030"/>
      <c r="S9" s="3030"/>
      <c r="T9" s="3030"/>
      <c r="U9" s="3030"/>
      <c r="V9" s="3030"/>
      <c r="W9" s="2091" t="s">
        <v>52</v>
      </c>
      <c r="X9" s="86" t="s">
        <v>53</v>
      </c>
      <c r="Y9" s="86" t="s">
        <v>54</v>
      </c>
      <c r="Z9" s="3074"/>
      <c r="AA9" s="3030"/>
      <c r="AB9" s="2218" t="s">
        <v>121</v>
      </c>
      <c r="AC9" s="421" t="s">
        <v>51</v>
      </c>
      <c r="AD9" s="2218" t="s">
        <v>121</v>
      </c>
      <c r="AE9" s="421" t="s">
        <v>51</v>
      </c>
      <c r="AF9" s="2218" t="s">
        <v>121</v>
      </c>
      <c r="AG9" s="421" t="s">
        <v>51</v>
      </c>
      <c r="AH9" s="2218" t="s">
        <v>121</v>
      </c>
      <c r="AI9" s="421" t="s">
        <v>51</v>
      </c>
      <c r="AJ9" s="2218" t="s">
        <v>121</v>
      </c>
      <c r="AK9" s="421" t="s">
        <v>51</v>
      </c>
      <c r="AL9" s="2218" t="s">
        <v>121</v>
      </c>
      <c r="AM9" s="421" t="s">
        <v>51</v>
      </c>
      <c r="AN9" s="2218" t="s">
        <v>121</v>
      </c>
      <c r="AO9" s="421" t="s">
        <v>51</v>
      </c>
      <c r="AP9" s="2218" t="s">
        <v>121</v>
      </c>
      <c r="AQ9" s="421" t="s">
        <v>51</v>
      </c>
      <c r="AR9" s="2218" t="s">
        <v>121</v>
      </c>
      <c r="AS9" s="421" t="s">
        <v>51</v>
      </c>
      <c r="AT9" s="2218" t="s">
        <v>121</v>
      </c>
      <c r="AU9" s="421" t="s">
        <v>51</v>
      </c>
      <c r="AV9" s="2218" t="s">
        <v>121</v>
      </c>
      <c r="AW9" s="421" t="s">
        <v>51</v>
      </c>
      <c r="AX9" s="2218" t="s">
        <v>121</v>
      </c>
      <c r="AY9" s="421" t="s">
        <v>51</v>
      </c>
      <c r="AZ9" s="3075"/>
      <c r="BA9" s="3076"/>
      <c r="BB9" s="3077"/>
      <c r="BC9" s="3079"/>
      <c r="BD9" s="3075"/>
      <c r="BE9" s="3087"/>
      <c r="BF9" s="422" t="s">
        <v>50</v>
      </c>
      <c r="BG9" s="423" t="s">
        <v>51</v>
      </c>
      <c r="BH9" s="422" t="s">
        <v>50</v>
      </c>
      <c r="BI9" s="424" t="s">
        <v>51</v>
      </c>
      <c r="BJ9" s="3036"/>
    </row>
    <row r="10" spans="1:402" s="9" customFormat="1" ht="29.25" customHeight="1" x14ac:dyDescent="0.2">
      <c r="A10" s="113" t="s">
        <v>337</v>
      </c>
      <c r="B10" s="60"/>
      <c r="C10" s="60" t="s">
        <v>338</v>
      </c>
      <c r="D10" s="60"/>
      <c r="E10" s="60"/>
      <c r="F10" s="60"/>
      <c r="G10" s="60"/>
      <c r="H10" s="60"/>
      <c r="I10" s="60"/>
      <c r="J10" s="60"/>
      <c r="K10" s="61"/>
      <c r="L10" s="60"/>
      <c r="M10" s="60"/>
      <c r="N10" s="156"/>
      <c r="O10" s="60"/>
      <c r="P10" s="60"/>
      <c r="Q10" s="60"/>
      <c r="R10" s="60"/>
      <c r="S10" s="60"/>
      <c r="T10" s="60"/>
      <c r="U10" s="60"/>
      <c r="V10" s="60"/>
      <c r="W10" s="60"/>
      <c r="X10" s="156"/>
      <c r="Y10" s="156"/>
      <c r="Z10" s="60"/>
      <c r="AA10" s="60"/>
      <c r="AB10" s="60"/>
      <c r="AC10" s="156"/>
      <c r="AD10" s="60"/>
      <c r="AE10" s="156"/>
      <c r="AF10" s="60"/>
      <c r="AG10" s="156"/>
      <c r="AH10" s="60"/>
      <c r="AI10" s="156"/>
      <c r="AJ10" s="60"/>
      <c r="AK10" s="156"/>
      <c r="AL10" s="60"/>
      <c r="AM10" s="156"/>
      <c r="AN10" s="60"/>
      <c r="AO10" s="156"/>
      <c r="AP10" s="60"/>
      <c r="AQ10" s="156"/>
      <c r="AR10" s="60"/>
      <c r="AS10" s="156"/>
      <c r="AT10" s="60"/>
      <c r="AU10" s="156"/>
      <c r="AV10" s="60"/>
      <c r="AW10" s="156"/>
      <c r="AX10" s="60"/>
      <c r="AY10" s="156"/>
      <c r="AZ10" s="60"/>
      <c r="BA10" s="60"/>
      <c r="BB10" s="60"/>
      <c r="BC10" s="60"/>
      <c r="BD10" s="60"/>
      <c r="BE10" s="60"/>
      <c r="BF10" s="60"/>
      <c r="BG10" s="156"/>
      <c r="BH10" s="60"/>
      <c r="BI10" s="156"/>
      <c r="BJ10" s="65"/>
    </row>
    <row r="11" spans="1:402" s="9" customFormat="1" ht="29.25" customHeight="1" x14ac:dyDescent="0.2">
      <c r="A11" s="425"/>
      <c r="B11" s="2477"/>
      <c r="C11" s="2478"/>
      <c r="D11" s="69" t="s">
        <v>339</v>
      </c>
      <c r="E11" s="3057" t="s">
        <v>340</v>
      </c>
      <c r="F11" s="3057"/>
      <c r="G11" s="3057"/>
      <c r="H11" s="3057"/>
      <c r="I11" s="3057"/>
      <c r="J11" s="3057"/>
      <c r="K11" s="3057"/>
      <c r="L11" s="3057"/>
      <c r="M11" s="47"/>
      <c r="N11" s="157"/>
      <c r="O11" s="47"/>
      <c r="P11" s="47"/>
      <c r="Q11" s="47"/>
      <c r="R11" s="47"/>
      <c r="S11" s="47"/>
      <c r="T11" s="47"/>
      <c r="U11" s="47"/>
      <c r="V11" s="47"/>
      <c r="W11" s="47"/>
      <c r="X11" s="157"/>
      <c r="Y11" s="157"/>
      <c r="Z11" s="47"/>
      <c r="AA11" s="47"/>
      <c r="AB11" s="47"/>
      <c r="AC11" s="157"/>
      <c r="AD11" s="47"/>
      <c r="AE11" s="157"/>
      <c r="AF11" s="47"/>
      <c r="AG11" s="157"/>
      <c r="AH11" s="47"/>
      <c r="AI11" s="157"/>
      <c r="AJ11" s="47"/>
      <c r="AK11" s="157"/>
      <c r="AL11" s="47"/>
      <c r="AM11" s="157"/>
      <c r="AN11" s="47"/>
      <c r="AO11" s="157"/>
      <c r="AP11" s="47"/>
      <c r="AQ11" s="157"/>
      <c r="AR11" s="47"/>
      <c r="AS11" s="157"/>
      <c r="AT11" s="47"/>
      <c r="AU11" s="157"/>
      <c r="AV11" s="47"/>
      <c r="AW11" s="157"/>
      <c r="AX11" s="47"/>
      <c r="AY11" s="157"/>
      <c r="AZ11" s="47"/>
      <c r="BA11" s="47"/>
      <c r="BB11" s="47"/>
      <c r="BC11" s="47"/>
      <c r="BD11" s="47"/>
      <c r="BE11" s="47"/>
      <c r="BF11" s="47"/>
      <c r="BG11" s="157"/>
      <c r="BH11" s="47"/>
      <c r="BI11" s="157"/>
      <c r="BJ11" s="103"/>
    </row>
    <row r="12" spans="1:402" s="9" customFormat="1" ht="29.25" customHeight="1" x14ac:dyDescent="0.2">
      <c r="A12" s="425"/>
      <c r="B12" s="2477"/>
      <c r="C12" s="2478"/>
      <c r="D12" s="2478"/>
      <c r="E12" s="2477"/>
      <c r="F12" s="2478"/>
      <c r="G12" s="2193" t="s">
        <v>341</v>
      </c>
      <c r="H12" s="2194"/>
      <c r="I12" s="2194" t="s">
        <v>342</v>
      </c>
      <c r="J12" s="50"/>
      <c r="K12" s="412"/>
      <c r="L12" s="50"/>
      <c r="M12" s="50"/>
      <c r="N12" s="411"/>
      <c r="O12" s="50"/>
      <c r="P12" s="50"/>
      <c r="Q12" s="50"/>
      <c r="R12" s="50"/>
      <c r="S12" s="50"/>
      <c r="T12" s="50"/>
      <c r="U12" s="50"/>
      <c r="V12" s="50"/>
      <c r="W12" s="50"/>
      <c r="X12" s="411"/>
      <c r="Y12" s="411"/>
      <c r="Z12" s="50"/>
      <c r="AA12" s="50"/>
      <c r="AB12" s="50"/>
      <c r="AC12" s="411"/>
      <c r="AD12" s="50"/>
      <c r="AE12" s="411"/>
      <c r="AF12" s="50"/>
      <c r="AG12" s="411"/>
      <c r="AH12" s="50"/>
      <c r="AI12" s="411"/>
      <c r="AJ12" s="50"/>
      <c r="AK12" s="411"/>
      <c r="AL12" s="50"/>
      <c r="AM12" s="411"/>
      <c r="AN12" s="50"/>
      <c r="AO12" s="411"/>
      <c r="AP12" s="50"/>
      <c r="AQ12" s="411"/>
      <c r="AR12" s="50"/>
      <c r="AS12" s="411"/>
      <c r="AT12" s="50"/>
      <c r="AU12" s="411"/>
      <c r="AV12" s="50"/>
      <c r="AW12" s="411"/>
      <c r="AX12" s="50"/>
      <c r="AY12" s="411"/>
      <c r="AZ12" s="50"/>
      <c r="BA12" s="50"/>
      <c r="BB12" s="50"/>
      <c r="BC12" s="50"/>
      <c r="BD12" s="50"/>
      <c r="BE12" s="50"/>
      <c r="BF12" s="50"/>
      <c r="BG12" s="411"/>
      <c r="BH12" s="50"/>
      <c r="BI12" s="411"/>
      <c r="BJ12" s="426"/>
    </row>
    <row r="13" spans="1:402" s="502" customFormat="1" ht="152.25" customHeight="1" x14ac:dyDescent="0.2">
      <c r="A13" s="3039" t="s">
        <v>197</v>
      </c>
      <c r="B13" s="3042" t="s">
        <v>197</v>
      </c>
      <c r="C13" s="3043"/>
      <c r="D13" s="2707" t="s">
        <v>197</v>
      </c>
      <c r="E13" s="3042" t="s">
        <v>197</v>
      </c>
      <c r="F13" s="3043"/>
      <c r="G13" s="2707" t="s">
        <v>197</v>
      </c>
      <c r="H13" s="3048" t="s">
        <v>197</v>
      </c>
      <c r="I13" s="3049"/>
      <c r="J13" s="2135">
        <v>54</v>
      </c>
      <c r="K13" s="2129" t="s">
        <v>343</v>
      </c>
      <c r="L13" s="2137" t="s">
        <v>344</v>
      </c>
      <c r="M13" s="2137">
        <v>130</v>
      </c>
      <c r="N13" s="2485">
        <v>132</v>
      </c>
      <c r="O13" s="2386" t="s">
        <v>345</v>
      </c>
      <c r="P13" s="2105">
        <v>18</v>
      </c>
      <c r="Q13" s="2199" t="s">
        <v>346</v>
      </c>
      <c r="R13" s="2107">
        <v>100</v>
      </c>
      <c r="S13" s="427">
        <v>49000000</v>
      </c>
      <c r="T13" s="3054" t="s">
        <v>347</v>
      </c>
      <c r="U13" s="3054" t="s">
        <v>348</v>
      </c>
      <c r="V13" s="2386" t="s">
        <v>349</v>
      </c>
      <c r="W13" s="4847">
        <v>49000000</v>
      </c>
      <c r="X13" s="440">
        <v>49000000</v>
      </c>
      <c r="Y13" s="440">
        <v>49000000</v>
      </c>
      <c r="Z13" s="2167">
        <v>23</v>
      </c>
      <c r="AA13" s="2386" t="s">
        <v>350</v>
      </c>
      <c r="AB13" s="428">
        <v>37199</v>
      </c>
      <c r="AC13" s="429">
        <f>SUM(AB13*80%)</f>
        <v>29759.200000000001</v>
      </c>
      <c r="AD13" s="428">
        <v>98821</v>
      </c>
      <c r="AE13" s="429">
        <f>SUM(AD13*80%)</f>
        <v>79056.800000000003</v>
      </c>
      <c r="AF13" s="428">
        <v>50922</v>
      </c>
      <c r="AG13" s="429">
        <f>SUM(AF13*80%)</f>
        <v>40737.600000000006</v>
      </c>
      <c r="AH13" s="428">
        <v>151591</v>
      </c>
      <c r="AI13" s="429">
        <f>SUM(AH13*80%)</f>
        <v>121272.8</v>
      </c>
      <c r="AJ13" s="428">
        <v>151591</v>
      </c>
      <c r="AK13" s="429">
        <f>SUM(AJ13*80%)</f>
        <v>121272.8</v>
      </c>
      <c r="AL13" s="428">
        <v>71991</v>
      </c>
      <c r="AM13" s="429">
        <f>SUM(AL13*80%)</f>
        <v>57592.800000000003</v>
      </c>
      <c r="AN13" s="428">
        <v>12718</v>
      </c>
      <c r="AO13" s="429">
        <f>SUM(AN13*80%)</f>
        <v>10174.400000000001</v>
      </c>
      <c r="AP13" s="428">
        <v>2141</v>
      </c>
      <c r="AQ13" s="429">
        <f>SUM(AP13*80%)</f>
        <v>1712.8000000000002</v>
      </c>
      <c r="AR13" s="428"/>
      <c r="AS13" s="429"/>
      <c r="AT13" s="428">
        <v>39704</v>
      </c>
      <c r="AU13" s="429">
        <f>SUM(AT13*80%)</f>
        <v>31763.200000000001</v>
      </c>
      <c r="AV13" s="428">
        <v>41543</v>
      </c>
      <c r="AW13" s="429">
        <f>SUM(AV13*80%)</f>
        <v>33234.400000000001</v>
      </c>
      <c r="AX13" s="428">
        <v>71991</v>
      </c>
      <c r="AY13" s="429">
        <f>SUM(AX13*80%)</f>
        <v>57592.800000000003</v>
      </c>
      <c r="AZ13" s="2378">
        <v>4</v>
      </c>
      <c r="BA13" s="430">
        <v>49000000</v>
      </c>
      <c r="BB13" s="430">
        <v>49000000</v>
      </c>
      <c r="BC13" s="431">
        <f>SUM(Y13*1)/W13</f>
        <v>1</v>
      </c>
      <c r="BD13" s="2386" t="s">
        <v>350</v>
      </c>
      <c r="BE13" s="2378" t="s">
        <v>351</v>
      </c>
      <c r="BF13" s="2510">
        <v>42402</v>
      </c>
      <c r="BG13" s="2511">
        <v>42431</v>
      </c>
      <c r="BH13" s="2510">
        <v>42582</v>
      </c>
      <c r="BI13" s="2512">
        <v>42676</v>
      </c>
      <c r="BJ13" s="432" t="s">
        <v>352</v>
      </c>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413"/>
      <c r="CO13" s="413"/>
      <c r="CP13" s="413"/>
      <c r="CQ13" s="413"/>
      <c r="CR13" s="413"/>
      <c r="CS13" s="413"/>
      <c r="CT13" s="413"/>
      <c r="CU13" s="413"/>
      <c r="CV13" s="413"/>
      <c r="CW13" s="413"/>
      <c r="CX13" s="413"/>
      <c r="CY13" s="413"/>
      <c r="CZ13" s="413"/>
      <c r="DA13" s="413"/>
      <c r="DB13" s="413"/>
      <c r="DC13" s="413"/>
      <c r="DD13" s="413"/>
      <c r="DE13" s="413"/>
      <c r="DF13" s="413"/>
      <c r="DG13" s="413"/>
      <c r="DH13" s="413"/>
      <c r="DI13" s="413"/>
      <c r="DJ13" s="413"/>
      <c r="DK13" s="413"/>
      <c r="DL13" s="413"/>
      <c r="DM13" s="413"/>
      <c r="DN13" s="413"/>
      <c r="DO13" s="413"/>
      <c r="DP13" s="413"/>
      <c r="DQ13" s="413"/>
      <c r="DR13" s="413"/>
      <c r="DS13" s="413"/>
      <c r="DT13" s="413"/>
      <c r="DU13" s="413"/>
      <c r="DV13" s="413"/>
      <c r="DW13" s="413"/>
      <c r="DX13" s="413"/>
      <c r="DY13" s="413"/>
      <c r="DZ13" s="413"/>
      <c r="EA13" s="413"/>
      <c r="EB13" s="413"/>
      <c r="EC13" s="413"/>
      <c r="ED13" s="413"/>
      <c r="EE13" s="413"/>
      <c r="EF13" s="413"/>
      <c r="EG13" s="413"/>
      <c r="EH13" s="413"/>
      <c r="EI13" s="413"/>
      <c r="EJ13" s="413"/>
      <c r="EK13" s="413"/>
      <c r="EL13" s="413"/>
      <c r="EM13" s="413"/>
      <c r="EN13" s="413"/>
      <c r="EO13" s="413"/>
      <c r="EP13" s="413"/>
      <c r="EQ13" s="413"/>
      <c r="ER13" s="413"/>
      <c r="ES13" s="413"/>
      <c r="ET13" s="413"/>
      <c r="EU13" s="413"/>
      <c r="EV13" s="413"/>
      <c r="EW13" s="413"/>
      <c r="EX13" s="413"/>
      <c r="EY13" s="413"/>
      <c r="EZ13" s="413"/>
      <c r="FA13" s="413"/>
      <c r="FB13" s="413"/>
      <c r="FC13" s="413"/>
      <c r="FD13" s="413"/>
      <c r="FE13" s="413"/>
      <c r="FF13" s="413"/>
      <c r="FG13" s="413"/>
      <c r="FH13" s="413"/>
      <c r="FI13" s="413"/>
      <c r="FJ13" s="413"/>
      <c r="FK13" s="413"/>
      <c r="FL13" s="413"/>
      <c r="FM13" s="413"/>
      <c r="FN13" s="413"/>
      <c r="FO13" s="413"/>
      <c r="FP13" s="413"/>
      <c r="FQ13" s="413"/>
      <c r="FR13" s="413"/>
      <c r="FS13" s="413"/>
      <c r="FT13" s="413"/>
      <c r="FU13" s="413"/>
      <c r="FV13" s="413"/>
      <c r="FW13" s="413"/>
      <c r="FX13" s="413"/>
      <c r="FY13" s="413"/>
      <c r="FZ13" s="413"/>
      <c r="GA13" s="413"/>
      <c r="GB13" s="413"/>
      <c r="GC13" s="413"/>
      <c r="GD13" s="413"/>
      <c r="GE13" s="413"/>
      <c r="GF13" s="413"/>
      <c r="GG13" s="413"/>
      <c r="GH13" s="413"/>
      <c r="GI13" s="413"/>
      <c r="GJ13" s="413"/>
      <c r="GK13" s="413"/>
      <c r="GL13" s="413"/>
      <c r="GM13" s="413"/>
      <c r="GN13" s="413"/>
      <c r="GO13" s="413"/>
      <c r="GP13" s="413"/>
      <c r="GQ13" s="413"/>
      <c r="GR13" s="413"/>
      <c r="GS13" s="413"/>
      <c r="GT13" s="413"/>
      <c r="GU13" s="413"/>
      <c r="GV13" s="413"/>
      <c r="GW13" s="413"/>
      <c r="GX13" s="413"/>
      <c r="GY13" s="413"/>
      <c r="GZ13" s="413"/>
      <c r="HA13" s="413"/>
      <c r="HB13" s="413"/>
      <c r="HC13" s="413"/>
      <c r="HD13" s="413"/>
      <c r="HE13" s="413"/>
      <c r="HF13" s="413"/>
      <c r="HG13" s="413"/>
      <c r="HH13" s="413"/>
      <c r="HI13" s="413"/>
      <c r="HJ13" s="413"/>
      <c r="HK13" s="413"/>
      <c r="HL13" s="413"/>
      <c r="HM13" s="413"/>
      <c r="HN13" s="413"/>
      <c r="HO13" s="413"/>
      <c r="HP13" s="413"/>
      <c r="HQ13" s="413"/>
      <c r="HR13" s="413"/>
      <c r="HS13" s="413"/>
      <c r="HT13" s="413"/>
      <c r="HU13" s="413"/>
      <c r="HV13" s="413"/>
      <c r="HW13" s="413"/>
      <c r="HX13" s="413"/>
      <c r="HY13" s="413"/>
      <c r="HZ13" s="413"/>
      <c r="IA13" s="413"/>
      <c r="IB13" s="413"/>
      <c r="IC13" s="413"/>
      <c r="ID13" s="413"/>
      <c r="IE13" s="413"/>
      <c r="IF13" s="413"/>
      <c r="IG13" s="413"/>
      <c r="IH13" s="413"/>
      <c r="II13" s="413"/>
      <c r="IJ13" s="413"/>
      <c r="IK13" s="413"/>
      <c r="IL13" s="413"/>
      <c r="IM13" s="413"/>
      <c r="IN13" s="413"/>
      <c r="IO13" s="413"/>
      <c r="IP13" s="413"/>
      <c r="IQ13" s="413"/>
      <c r="IR13" s="413"/>
      <c r="IS13" s="413"/>
      <c r="IT13" s="413"/>
      <c r="IU13" s="413"/>
      <c r="IV13" s="413"/>
      <c r="IW13" s="413"/>
      <c r="IX13" s="413"/>
      <c r="IY13" s="413"/>
      <c r="IZ13" s="413"/>
      <c r="JA13" s="413"/>
      <c r="JB13" s="413"/>
      <c r="JC13" s="413"/>
      <c r="JD13" s="413"/>
      <c r="JE13" s="413"/>
      <c r="JF13" s="413"/>
      <c r="JG13" s="413"/>
      <c r="JH13" s="413"/>
      <c r="JI13" s="413"/>
      <c r="JJ13" s="413"/>
      <c r="JK13" s="413"/>
      <c r="JL13" s="413"/>
      <c r="JM13" s="413"/>
      <c r="JN13" s="413"/>
      <c r="JO13" s="413"/>
      <c r="JP13" s="413"/>
      <c r="JQ13" s="413"/>
      <c r="JR13" s="413"/>
      <c r="JS13" s="413"/>
      <c r="JT13" s="413"/>
      <c r="JU13" s="413"/>
      <c r="JV13" s="413"/>
      <c r="JW13" s="413"/>
      <c r="JX13" s="413"/>
      <c r="JY13" s="413"/>
      <c r="JZ13" s="413"/>
      <c r="KA13" s="413"/>
      <c r="KB13" s="413"/>
      <c r="KC13" s="413"/>
      <c r="KD13" s="413"/>
      <c r="KE13" s="413"/>
      <c r="KF13" s="413"/>
      <c r="KG13" s="413"/>
      <c r="KH13" s="413"/>
      <c r="KI13" s="413"/>
      <c r="KJ13" s="413"/>
      <c r="KK13" s="413"/>
      <c r="KL13" s="413"/>
      <c r="KM13" s="413"/>
      <c r="KN13" s="413"/>
      <c r="KO13" s="413"/>
      <c r="KP13" s="413"/>
      <c r="KQ13" s="413"/>
      <c r="KR13" s="413"/>
      <c r="KS13" s="413"/>
      <c r="KT13" s="413"/>
      <c r="KU13" s="413"/>
      <c r="KV13" s="413"/>
      <c r="KW13" s="413"/>
      <c r="KX13" s="413"/>
      <c r="KY13" s="413"/>
      <c r="KZ13" s="413"/>
      <c r="LA13" s="413"/>
      <c r="LB13" s="413"/>
      <c r="LC13" s="413"/>
      <c r="LD13" s="413"/>
      <c r="LE13" s="413"/>
      <c r="LF13" s="413"/>
      <c r="LG13" s="413"/>
      <c r="LH13" s="413"/>
      <c r="LI13" s="413"/>
      <c r="LJ13" s="413"/>
      <c r="LK13" s="413"/>
      <c r="LL13" s="413"/>
      <c r="LM13" s="413"/>
      <c r="LN13" s="413"/>
      <c r="LO13" s="413"/>
      <c r="LP13" s="413"/>
      <c r="LQ13" s="413"/>
      <c r="LR13" s="413"/>
      <c r="LS13" s="413"/>
      <c r="LT13" s="413"/>
      <c r="LU13" s="413"/>
      <c r="LV13" s="413"/>
      <c r="LW13" s="413"/>
      <c r="LX13" s="413"/>
      <c r="LY13" s="413"/>
      <c r="LZ13" s="413"/>
      <c r="MA13" s="413"/>
      <c r="MB13" s="413"/>
      <c r="MC13" s="413"/>
      <c r="MD13" s="413"/>
      <c r="ME13" s="413"/>
      <c r="MF13" s="413"/>
      <c r="MG13" s="413"/>
      <c r="MH13" s="413"/>
      <c r="MI13" s="413"/>
      <c r="MJ13" s="413"/>
      <c r="MK13" s="413"/>
      <c r="ML13" s="413"/>
      <c r="MM13" s="413"/>
      <c r="MN13" s="413"/>
      <c r="MO13" s="413"/>
      <c r="MP13" s="413"/>
      <c r="MQ13" s="413"/>
      <c r="MR13" s="413"/>
      <c r="MS13" s="413"/>
      <c r="MT13" s="413"/>
      <c r="MU13" s="413"/>
      <c r="MV13" s="413"/>
      <c r="MW13" s="413"/>
      <c r="MX13" s="413"/>
      <c r="MY13" s="413"/>
      <c r="MZ13" s="413"/>
      <c r="NA13" s="413"/>
      <c r="NB13" s="413"/>
      <c r="NC13" s="413"/>
      <c r="ND13" s="413"/>
      <c r="NE13" s="413"/>
      <c r="NF13" s="413"/>
      <c r="NG13" s="413"/>
      <c r="NH13" s="413"/>
      <c r="NI13" s="413"/>
      <c r="NJ13" s="413"/>
      <c r="NK13" s="413"/>
      <c r="NL13" s="413"/>
      <c r="NM13" s="413"/>
      <c r="NN13" s="413"/>
      <c r="NO13" s="413"/>
      <c r="NP13" s="413"/>
      <c r="NQ13" s="413"/>
      <c r="NR13" s="413"/>
      <c r="NS13" s="413"/>
      <c r="NT13" s="413"/>
      <c r="NU13" s="413"/>
      <c r="NV13" s="413"/>
      <c r="NW13" s="413"/>
      <c r="NX13" s="413"/>
      <c r="NY13" s="413"/>
      <c r="NZ13" s="413"/>
      <c r="OA13" s="413"/>
      <c r="OB13" s="413"/>
      <c r="OC13" s="413"/>
      <c r="OD13" s="413"/>
      <c r="OE13" s="413"/>
      <c r="OF13" s="413"/>
      <c r="OG13" s="413"/>
      <c r="OH13" s="413"/>
      <c r="OI13" s="413"/>
      <c r="OJ13" s="413"/>
      <c r="OK13" s="413"/>
      <c r="OL13" s="413"/>
    </row>
    <row r="14" spans="1:402" s="436" customFormat="1" ht="102.75" customHeight="1" x14ac:dyDescent="0.2">
      <c r="A14" s="3040"/>
      <c r="B14" s="3044"/>
      <c r="C14" s="3045"/>
      <c r="D14" s="2708"/>
      <c r="E14" s="3044"/>
      <c r="F14" s="3045"/>
      <c r="G14" s="2708"/>
      <c r="H14" s="3050"/>
      <c r="I14" s="3051"/>
      <c r="J14" s="2506">
        <v>54</v>
      </c>
      <c r="K14" s="2196" t="s">
        <v>343</v>
      </c>
      <c r="L14" s="2099" t="s">
        <v>344</v>
      </c>
      <c r="M14" s="2099">
        <v>130</v>
      </c>
      <c r="N14" s="2485">
        <v>132</v>
      </c>
      <c r="O14" s="3054" t="s">
        <v>353</v>
      </c>
      <c r="P14" s="2707">
        <v>19</v>
      </c>
      <c r="Q14" s="3054" t="s">
        <v>354</v>
      </c>
      <c r="R14" s="2205">
        <f>+W14/($S$14+$S$15+$S$16)</f>
        <v>0.40724046406054581</v>
      </c>
      <c r="S14" s="434">
        <v>373256341</v>
      </c>
      <c r="T14" s="3055"/>
      <c r="U14" s="3055"/>
      <c r="V14" s="2200" t="s">
        <v>343</v>
      </c>
      <c r="W14" s="4848">
        <v>373256341</v>
      </c>
      <c r="X14" s="4849">
        <v>331658853</v>
      </c>
      <c r="Y14" s="4849">
        <f>313385210+18273643</f>
        <v>331658853</v>
      </c>
      <c r="Z14" s="2154" t="s">
        <v>355</v>
      </c>
      <c r="AA14" s="2386" t="s">
        <v>356</v>
      </c>
      <c r="AB14" s="3061">
        <v>37199</v>
      </c>
      <c r="AC14" s="2931">
        <f>SUM(AB14*3%)</f>
        <v>1115.97</v>
      </c>
      <c r="AD14" s="3067" t="s">
        <v>357</v>
      </c>
      <c r="AE14" s="2931">
        <f>SUM(AD14*3%)</f>
        <v>2964.63</v>
      </c>
      <c r="AF14" s="3061">
        <v>50922</v>
      </c>
      <c r="AG14" s="2931">
        <f>SUM(AF14*3%)</f>
        <v>1527.6599999999999</v>
      </c>
      <c r="AH14" s="3061">
        <v>151591</v>
      </c>
      <c r="AI14" s="2931">
        <f>SUM(AH14*3%)</f>
        <v>4547.7299999999996</v>
      </c>
      <c r="AJ14" s="3061">
        <v>151591</v>
      </c>
      <c r="AK14" s="2931">
        <f>SUM(AJ14*3%)</f>
        <v>4547.7299999999996</v>
      </c>
      <c r="AL14" s="3061">
        <v>71991</v>
      </c>
      <c r="AM14" s="2931">
        <f>SUM(AL14*3%)</f>
        <v>2159.73</v>
      </c>
      <c r="AN14" s="3061">
        <v>12718</v>
      </c>
      <c r="AO14" s="2931">
        <f>SUM(AN14*3%)</f>
        <v>381.53999999999996</v>
      </c>
      <c r="AP14" s="3061">
        <v>2141</v>
      </c>
      <c r="AQ14" s="2931">
        <f>SUM(AP14*3%)</f>
        <v>64.23</v>
      </c>
      <c r="AR14" s="3061"/>
      <c r="AS14" s="3064"/>
      <c r="AT14" s="3061">
        <v>39704</v>
      </c>
      <c r="AU14" s="2931">
        <f>SUM(AT14*3%)</f>
        <v>1191.1199999999999</v>
      </c>
      <c r="AV14" s="3061">
        <v>41543</v>
      </c>
      <c r="AW14" s="2931">
        <f>SUM(AV14*3%)</f>
        <v>1246.29</v>
      </c>
      <c r="AX14" s="3061">
        <v>71991</v>
      </c>
      <c r="AY14" s="2931">
        <f>SUM(AX14*3%)</f>
        <v>2159.73</v>
      </c>
      <c r="AZ14" s="2107">
        <v>50</v>
      </c>
      <c r="BA14" s="435">
        <f>SUM(X14)</f>
        <v>331658853</v>
      </c>
      <c r="BB14" s="435">
        <f>SUM(Y14)</f>
        <v>331658853</v>
      </c>
      <c r="BC14" s="431">
        <f>SUM(Y14*1)/W14</f>
        <v>0.88855517393608052</v>
      </c>
      <c r="BD14" s="2386" t="s">
        <v>356</v>
      </c>
      <c r="BE14" s="2707" t="s">
        <v>358</v>
      </c>
      <c r="BF14" s="3080">
        <v>42583</v>
      </c>
      <c r="BG14" s="2578">
        <v>42594</v>
      </c>
      <c r="BH14" s="3080">
        <v>42735</v>
      </c>
      <c r="BI14" s="2578">
        <v>42735</v>
      </c>
      <c r="BJ14" s="3083" t="s">
        <v>359</v>
      </c>
    </row>
    <row r="15" spans="1:402" s="437" customFormat="1" ht="79.5" customHeight="1" x14ac:dyDescent="0.2">
      <c r="A15" s="3040"/>
      <c r="B15" s="3044"/>
      <c r="C15" s="3045"/>
      <c r="D15" s="2708"/>
      <c r="E15" s="3044"/>
      <c r="F15" s="3045"/>
      <c r="G15" s="2708"/>
      <c r="H15" s="3050"/>
      <c r="I15" s="3051"/>
      <c r="J15" s="2135">
        <v>55</v>
      </c>
      <c r="K15" s="498" t="s">
        <v>360</v>
      </c>
      <c r="L15" s="2099" t="s">
        <v>19</v>
      </c>
      <c r="M15" s="2099">
        <v>12</v>
      </c>
      <c r="N15" s="2485">
        <v>12</v>
      </c>
      <c r="O15" s="3055"/>
      <c r="P15" s="2708"/>
      <c r="Q15" s="3055"/>
      <c r="R15" s="2205">
        <f t="shared" ref="R15:R16" si="0">+W15/($S$14+$S$15+$S$16)</f>
        <v>0.39637095394106225</v>
      </c>
      <c r="S15" s="434">
        <f>+W15</f>
        <v>363293889</v>
      </c>
      <c r="T15" s="3055"/>
      <c r="U15" s="3056"/>
      <c r="V15" s="2224" t="s">
        <v>360</v>
      </c>
      <c r="W15" s="4848">
        <v>363293889</v>
      </c>
      <c r="X15" s="4849">
        <v>182485098</v>
      </c>
      <c r="Y15" s="4849">
        <v>182485098</v>
      </c>
      <c r="Z15" s="2154">
        <v>88</v>
      </c>
      <c r="AA15" s="2200" t="s">
        <v>361</v>
      </c>
      <c r="AB15" s="3062"/>
      <c r="AC15" s="2939"/>
      <c r="AD15" s="3068"/>
      <c r="AE15" s="2939"/>
      <c r="AF15" s="3062"/>
      <c r="AG15" s="2939"/>
      <c r="AH15" s="3062"/>
      <c r="AI15" s="2939"/>
      <c r="AJ15" s="3062"/>
      <c r="AK15" s="2939"/>
      <c r="AL15" s="3062"/>
      <c r="AM15" s="2939"/>
      <c r="AN15" s="3062"/>
      <c r="AO15" s="2939"/>
      <c r="AP15" s="3062"/>
      <c r="AQ15" s="2939"/>
      <c r="AR15" s="3062"/>
      <c r="AS15" s="3065"/>
      <c r="AT15" s="3062"/>
      <c r="AU15" s="2939"/>
      <c r="AV15" s="3062"/>
      <c r="AW15" s="2939"/>
      <c r="AX15" s="3062"/>
      <c r="AY15" s="2939"/>
      <c r="AZ15" s="2107">
        <v>9</v>
      </c>
      <c r="BA15" s="435">
        <v>182485098</v>
      </c>
      <c r="BB15" s="435">
        <v>182485098</v>
      </c>
      <c r="BC15" s="431">
        <f>SUM(Y15*1)/W15</f>
        <v>0.50230709495914472</v>
      </c>
      <c r="BD15" s="2200" t="s">
        <v>361</v>
      </c>
      <c r="BE15" s="2708"/>
      <c r="BF15" s="3081"/>
      <c r="BG15" s="2579"/>
      <c r="BH15" s="3081"/>
      <c r="BI15" s="2579"/>
      <c r="BJ15" s="3084"/>
      <c r="BK15" s="436"/>
      <c r="BL15" s="436"/>
      <c r="BM15" s="2417"/>
      <c r="BN15" s="2417"/>
      <c r="BO15" s="2417"/>
      <c r="BP15" s="2417"/>
      <c r="BQ15" s="2417"/>
      <c r="BR15" s="2417"/>
      <c r="BS15" s="2417"/>
      <c r="BT15" s="2417"/>
      <c r="BU15" s="2417"/>
      <c r="BV15" s="2417"/>
      <c r="BW15" s="2417"/>
      <c r="BX15" s="2417"/>
      <c r="BY15" s="2417"/>
      <c r="BZ15" s="2417"/>
      <c r="CA15" s="2417"/>
      <c r="CB15" s="2417"/>
      <c r="CC15" s="2417"/>
      <c r="CD15" s="2417"/>
      <c r="CE15" s="2417"/>
      <c r="CF15" s="2417"/>
      <c r="CG15" s="2417"/>
      <c r="CH15" s="2417"/>
      <c r="CI15" s="2417"/>
      <c r="CJ15" s="2417"/>
      <c r="CK15" s="2417"/>
      <c r="CL15" s="2417"/>
      <c r="CM15" s="2417"/>
      <c r="CN15" s="2417"/>
      <c r="CO15" s="2417"/>
      <c r="CP15" s="2417"/>
      <c r="CQ15" s="2417"/>
      <c r="CR15" s="2417"/>
      <c r="CS15" s="2417"/>
      <c r="CT15" s="2417"/>
      <c r="CU15" s="2417"/>
      <c r="CV15" s="2417"/>
      <c r="CW15" s="2417"/>
      <c r="CX15" s="2417"/>
      <c r="CY15" s="2417"/>
      <c r="CZ15" s="2417"/>
      <c r="DA15" s="2417"/>
      <c r="DB15" s="2417"/>
      <c r="DC15" s="2417"/>
      <c r="DD15" s="2417"/>
      <c r="DE15" s="2417"/>
      <c r="DF15" s="2417"/>
      <c r="DG15" s="2417"/>
      <c r="DH15" s="2417"/>
      <c r="DI15" s="2417"/>
      <c r="DJ15" s="2417"/>
      <c r="DK15" s="2417"/>
      <c r="DL15" s="2417"/>
      <c r="DM15" s="2417"/>
      <c r="DN15" s="2417"/>
      <c r="DO15" s="2417"/>
      <c r="DP15" s="2417"/>
      <c r="DQ15" s="2417"/>
      <c r="DR15" s="2417"/>
      <c r="DS15" s="2417"/>
      <c r="DT15" s="2417"/>
      <c r="DU15" s="2417"/>
      <c r="DV15" s="2417"/>
      <c r="DW15" s="2417"/>
      <c r="DX15" s="2417"/>
      <c r="DY15" s="2417"/>
      <c r="DZ15" s="2417"/>
      <c r="EA15" s="2417"/>
      <c r="EB15" s="2417"/>
      <c r="EC15" s="2417"/>
      <c r="ED15" s="2417"/>
      <c r="EE15" s="2417"/>
      <c r="EF15" s="2417"/>
      <c r="EG15" s="2417"/>
      <c r="EH15" s="2417"/>
      <c r="EI15" s="2417"/>
      <c r="EJ15" s="2417"/>
      <c r="EK15" s="2417"/>
      <c r="EL15" s="2417"/>
      <c r="EM15" s="2417"/>
      <c r="EN15" s="2417"/>
      <c r="EO15" s="2417"/>
      <c r="EP15" s="2417"/>
      <c r="EQ15" s="2417"/>
      <c r="ER15" s="2417"/>
      <c r="ES15" s="2417"/>
      <c r="ET15" s="2417"/>
      <c r="EU15" s="2417"/>
      <c r="EV15" s="2417"/>
      <c r="EW15" s="2417"/>
      <c r="EX15" s="2417"/>
      <c r="EY15" s="2417"/>
      <c r="EZ15" s="2417"/>
      <c r="FA15" s="2417"/>
      <c r="FB15" s="2417"/>
      <c r="FC15" s="2417"/>
      <c r="FD15" s="2417"/>
      <c r="FE15" s="2417"/>
      <c r="FF15" s="2417"/>
      <c r="FG15" s="2417"/>
      <c r="FH15" s="2417"/>
      <c r="FI15" s="2417"/>
      <c r="FJ15" s="2417"/>
      <c r="FK15" s="2417"/>
      <c r="FL15" s="2417"/>
      <c r="FM15" s="2417"/>
      <c r="FN15" s="2417"/>
      <c r="FO15" s="2417"/>
      <c r="FP15" s="2417"/>
      <c r="FQ15" s="2417"/>
      <c r="FR15" s="2417"/>
      <c r="FS15" s="2417"/>
      <c r="FT15" s="2417"/>
      <c r="FU15" s="2417"/>
      <c r="FV15" s="2417"/>
      <c r="FW15" s="2417"/>
      <c r="FX15" s="2417"/>
      <c r="FY15" s="2417"/>
      <c r="FZ15" s="2417"/>
      <c r="GA15" s="2417"/>
      <c r="GB15" s="2417"/>
      <c r="GC15" s="2417"/>
      <c r="GD15" s="2417"/>
      <c r="GE15" s="2417"/>
      <c r="GF15" s="2417"/>
      <c r="GG15" s="2417"/>
      <c r="GH15" s="2417"/>
      <c r="GI15" s="2417"/>
      <c r="GJ15" s="2417"/>
      <c r="GK15" s="2417"/>
      <c r="GL15" s="2417"/>
      <c r="GM15" s="2417"/>
      <c r="GN15" s="2417"/>
      <c r="GO15" s="2417"/>
      <c r="GP15" s="2417"/>
      <c r="GQ15" s="2417"/>
      <c r="GR15" s="2417"/>
      <c r="GS15" s="2417"/>
      <c r="GT15" s="2417"/>
      <c r="GU15" s="2417"/>
      <c r="GV15" s="2417"/>
      <c r="GW15" s="2417"/>
      <c r="GX15" s="2417"/>
      <c r="GY15" s="2417"/>
      <c r="GZ15" s="2417"/>
      <c r="HA15" s="2417"/>
      <c r="HB15" s="2417"/>
      <c r="HC15" s="2417"/>
      <c r="HD15" s="2417"/>
      <c r="HE15" s="2417"/>
      <c r="HF15" s="2417"/>
      <c r="HG15" s="2417"/>
      <c r="HH15" s="2417"/>
      <c r="HI15" s="2417"/>
      <c r="HJ15" s="2417"/>
      <c r="HK15" s="2417"/>
      <c r="HL15" s="2417"/>
      <c r="HM15" s="2417"/>
      <c r="HN15" s="2417"/>
      <c r="HO15" s="2417"/>
      <c r="HP15" s="2417"/>
      <c r="HQ15" s="2417"/>
      <c r="HR15" s="2417"/>
      <c r="HS15" s="2417"/>
      <c r="HT15" s="2417"/>
      <c r="HU15" s="2417"/>
      <c r="HV15" s="2417"/>
      <c r="HW15" s="2417"/>
      <c r="HX15" s="2417"/>
      <c r="HY15" s="2417"/>
      <c r="HZ15" s="2417"/>
      <c r="IA15" s="2417"/>
      <c r="IB15" s="2417"/>
      <c r="IC15" s="2417"/>
      <c r="ID15" s="2417"/>
      <c r="IE15" s="2417"/>
      <c r="IF15" s="2417"/>
      <c r="IG15" s="2417"/>
      <c r="IH15" s="2417"/>
      <c r="II15" s="2417"/>
      <c r="IJ15" s="2417"/>
      <c r="IK15" s="2417"/>
      <c r="IL15" s="2417"/>
      <c r="IM15" s="2417"/>
      <c r="IN15" s="2417"/>
      <c r="IO15" s="2417"/>
      <c r="IP15" s="2417"/>
      <c r="IQ15" s="2417"/>
      <c r="IR15" s="2417"/>
      <c r="IS15" s="2417"/>
      <c r="IT15" s="2417"/>
      <c r="IU15" s="2417"/>
      <c r="IV15" s="2417"/>
      <c r="IW15" s="2417"/>
      <c r="IX15" s="2417"/>
      <c r="IY15" s="2417"/>
      <c r="IZ15" s="2417"/>
      <c r="JA15" s="2417"/>
      <c r="JB15" s="2417"/>
      <c r="JC15" s="2417"/>
      <c r="JD15" s="2417"/>
      <c r="JE15" s="2417"/>
      <c r="JF15" s="2417"/>
      <c r="JG15" s="2417"/>
      <c r="JH15" s="2417"/>
      <c r="JI15" s="2417"/>
      <c r="JJ15" s="2417"/>
      <c r="JK15" s="2417"/>
      <c r="JL15" s="2417"/>
      <c r="JM15" s="2417"/>
      <c r="JN15" s="2417"/>
      <c r="JO15" s="2417"/>
      <c r="JP15" s="2417"/>
      <c r="JQ15" s="2417"/>
      <c r="JR15" s="2417"/>
      <c r="JS15" s="2417"/>
      <c r="JT15" s="2417"/>
      <c r="JU15" s="2417"/>
      <c r="JV15" s="2417"/>
      <c r="JW15" s="2417"/>
      <c r="JX15" s="2417"/>
      <c r="JY15" s="2417"/>
      <c r="JZ15" s="2417"/>
      <c r="KA15" s="2417"/>
      <c r="KB15" s="2417"/>
      <c r="KC15" s="2417"/>
      <c r="KD15" s="2417"/>
      <c r="KE15" s="2417"/>
      <c r="KF15" s="2417"/>
      <c r="KG15" s="2417"/>
      <c r="KH15" s="2417"/>
      <c r="KI15" s="2417"/>
      <c r="KJ15" s="2417"/>
      <c r="KK15" s="2417"/>
      <c r="KL15" s="2417"/>
      <c r="KM15" s="2417"/>
      <c r="KN15" s="2417"/>
      <c r="KO15" s="2417"/>
      <c r="KP15" s="2417"/>
      <c r="KQ15" s="2417"/>
      <c r="KR15" s="2417"/>
      <c r="KS15" s="2417"/>
      <c r="KT15" s="2417"/>
      <c r="KU15" s="2417"/>
      <c r="KV15" s="2417"/>
      <c r="KW15" s="2417"/>
      <c r="KX15" s="2417"/>
      <c r="KY15" s="2417"/>
      <c r="KZ15" s="2417"/>
      <c r="LA15" s="2417"/>
      <c r="LB15" s="2417"/>
      <c r="LC15" s="2417"/>
      <c r="LD15" s="2417"/>
      <c r="LE15" s="2417"/>
      <c r="LF15" s="2417"/>
      <c r="LG15" s="2417"/>
      <c r="LH15" s="2417"/>
      <c r="LI15" s="2417"/>
      <c r="LJ15" s="2417"/>
      <c r="LK15" s="2417"/>
      <c r="LL15" s="2417"/>
      <c r="LM15" s="2417"/>
      <c r="LN15" s="2417"/>
      <c r="LO15" s="2417"/>
      <c r="LP15" s="2417"/>
      <c r="LQ15" s="2417"/>
      <c r="LR15" s="2417"/>
      <c r="LS15" s="2417"/>
      <c r="LT15" s="2417"/>
      <c r="LU15" s="2417"/>
      <c r="LV15" s="2417"/>
      <c r="LW15" s="2417"/>
      <c r="LX15" s="2417"/>
      <c r="LY15" s="2417"/>
      <c r="LZ15" s="2417"/>
      <c r="MA15" s="2417"/>
      <c r="MB15" s="2417"/>
      <c r="MC15" s="2417"/>
      <c r="MD15" s="2417"/>
      <c r="ME15" s="2417"/>
      <c r="MF15" s="2417"/>
      <c r="MG15" s="2417"/>
      <c r="MH15" s="2417"/>
      <c r="MI15" s="2417"/>
      <c r="MJ15" s="2417"/>
      <c r="MK15" s="2417"/>
      <c r="ML15" s="2417"/>
      <c r="MM15" s="2417"/>
      <c r="MN15" s="2417"/>
      <c r="MO15" s="2417"/>
      <c r="MP15" s="2417"/>
      <c r="MQ15" s="2417"/>
      <c r="MR15" s="2417"/>
      <c r="MS15" s="2417"/>
      <c r="MT15" s="2417"/>
      <c r="MU15" s="2417"/>
      <c r="MV15" s="2417"/>
      <c r="MW15" s="2417"/>
      <c r="MX15" s="2417"/>
      <c r="MY15" s="2417"/>
      <c r="MZ15" s="2417"/>
      <c r="NA15" s="2417"/>
      <c r="NB15" s="2417"/>
      <c r="NC15" s="2417"/>
      <c r="ND15" s="2417"/>
      <c r="NE15" s="2417"/>
      <c r="NF15" s="2417"/>
      <c r="NG15" s="2417"/>
      <c r="NH15" s="2417"/>
      <c r="NI15" s="2417"/>
      <c r="NJ15" s="2417"/>
      <c r="NK15" s="2417"/>
      <c r="NL15" s="2417"/>
      <c r="NM15" s="2417"/>
      <c r="NN15" s="2417"/>
      <c r="NO15" s="2417"/>
      <c r="NP15" s="2417"/>
      <c r="NQ15" s="2417"/>
      <c r="NR15" s="2417"/>
      <c r="NS15" s="2417"/>
      <c r="NT15" s="2417"/>
      <c r="NU15" s="2417"/>
      <c r="NV15" s="2417"/>
      <c r="NW15" s="2417"/>
      <c r="NX15" s="2417"/>
      <c r="NY15" s="2417"/>
      <c r="NZ15" s="2417"/>
      <c r="OA15" s="2417"/>
      <c r="OB15" s="2417"/>
      <c r="OC15" s="2417"/>
      <c r="OD15" s="2417"/>
      <c r="OE15" s="2417"/>
      <c r="OF15" s="2417"/>
      <c r="OG15" s="2417"/>
      <c r="OH15" s="2417"/>
      <c r="OI15" s="2417"/>
      <c r="OJ15" s="2417"/>
      <c r="OK15" s="2417"/>
      <c r="OL15" s="2417"/>
    </row>
    <row r="16" spans="1:402" s="437" customFormat="1" ht="144.75" customHeight="1" x14ac:dyDescent="0.2">
      <c r="A16" s="3040"/>
      <c r="B16" s="3044"/>
      <c r="C16" s="3045"/>
      <c r="D16" s="2708"/>
      <c r="E16" s="3044"/>
      <c r="F16" s="3045"/>
      <c r="G16" s="2709"/>
      <c r="H16" s="3052"/>
      <c r="I16" s="3053"/>
      <c r="J16" s="2136">
        <v>56</v>
      </c>
      <c r="K16" s="499" t="s">
        <v>362</v>
      </c>
      <c r="L16" s="2098" t="s">
        <v>344</v>
      </c>
      <c r="M16" s="2098">
        <v>3</v>
      </c>
      <c r="N16" s="2485">
        <v>0</v>
      </c>
      <c r="O16" s="3056"/>
      <c r="P16" s="2709"/>
      <c r="Q16" s="3056"/>
      <c r="R16" s="2205">
        <f t="shared" si="0"/>
        <v>0.19638858199839196</v>
      </c>
      <c r="S16" s="434">
        <f>+W16</f>
        <v>180000000</v>
      </c>
      <c r="T16" s="3056"/>
      <c r="U16" s="2386" t="s">
        <v>363</v>
      </c>
      <c r="V16" s="2210" t="s">
        <v>364</v>
      </c>
      <c r="W16" s="4850">
        <v>180000000</v>
      </c>
      <c r="X16" s="4851">
        <v>0</v>
      </c>
      <c r="Y16" s="4851">
        <v>0</v>
      </c>
      <c r="Z16" s="2149" t="s">
        <v>365</v>
      </c>
      <c r="AA16" s="2386" t="s">
        <v>366</v>
      </c>
      <c r="AB16" s="3063"/>
      <c r="AC16" s="2932"/>
      <c r="AD16" s="3069"/>
      <c r="AE16" s="2932"/>
      <c r="AF16" s="3063"/>
      <c r="AG16" s="2932"/>
      <c r="AH16" s="3063"/>
      <c r="AI16" s="2932"/>
      <c r="AJ16" s="3063"/>
      <c r="AK16" s="2932"/>
      <c r="AL16" s="3063"/>
      <c r="AM16" s="2932"/>
      <c r="AN16" s="3063"/>
      <c r="AO16" s="2932"/>
      <c r="AP16" s="3063"/>
      <c r="AQ16" s="2932"/>
      <c r="AR16" s="3063"/>
      <c r="AS16" s="3066"/>
      <c r="AT16" s="3063"/>
      <c r="AU16" s="2932"/>
      <c r="AV16" s="3063"/>
      <c r="AW16" s="2932"/>
      <c r="AX16" s="3063"/>
      <c r="AY16" s="2932"/>
      <c r="AZ16" s="2107">
        <v>0</v>
      </c>
      <c r="BA16" s="435">
        <v>0</v>
      </c>
      <c r="BB16" s="435">
        <v>0</v>
      </c>
      <c r="BC16" s="431">
        <f>SUM(Y16*1)/W16</f>
        <v>0</v>
      </c>
      <c r="BD16" s="2386" t="s">
        <v>366</v>
      </c>
      <c r="BE16" s="2709"/>
      <c r="BF16" s="3082"/>
      <c r="BG16" s="2580"/>
      <c r="BH16" s="3082"/>
      <c r="BI16" s="2580"/>
      <c r="BJ16" s="3085"/>
      <c r="BK16" s="436"/>
      <c r="BL16" s="436"/>
      <c r="BM16" s="2417"/>
      <c r="BN16" s="2417"/>
      <c r="BO16" s="2417"/>
      <c r="BP16" s="2417"/>
      <c r="BQ16" s="2417"/>
      <c r="BR16" s="2417"/>
      <c r="BS16" s="2417"/>
      <c r="BT16" s="2417"/>
      <c r="BU16" s="2417"/>
      <c r="BV16" s="2417"/>
      <c r="BW16" s="2417"/>
      <c r="BX16" s="2417"/>
      <c r="BY16" s="2417"/>
      <c r="BZ16" s="2417"/>
      <c r="CA16" s="2417"/>
      <c r="CB16" s="2417"/>
      <c r="CC16" s="2417"/>
      <c r="CD16" s="2417"/>
      <c r="CE16" s="2417"/>
      <c r="CF16" s="2417"/>
      <c r="CG16" s="2417"/>
      <c r="CH16" s="2417"/>
      <c r="CI16" s="2417"/>
      <c r="CJ16" s="2417"/>
      <c r="CK16" s="2417"/>
      <c r="CL16" s="2417"/>
      <c r="CM16" s="2417"/>
      <c r="CN16" s="2417"/>
      <c r="CO16" s="2417"/>
      <c r="CP16" s="2417"/>
      <c r="CQ16" s="2417"/>
      <c r="CR16" s="2417"/>
      <c r="CS16" s="2417"/>
      <c r="CT16" s="2417"/>
      <c r="CU16" s="2417"/>
      <c r="CV16" s="2417"/>
      <c r="CW16" s="2417"/>
      <c r="CX16" s="2417"/>
      <c r="CY16" s="2417"/>
      <c r="CZ16" s="2417"/>
      <c r="DA16" s="2417"/>
      <c r="DB16" s="2417"/>
      <c r="DC16" s="2417"/>
      <c r="DD16" s="2417"/>
      <c r="DE16" s="2417"/>
      <c r="DF16" s="2417"/>
      <c r="DG16" s="2417"/>
      <c r="DH16" s="2417"/>
      <c r="DI16" s="2417"/>
      <c r="DJ16" s="2417"/>
      <c r="DK16" s="2417"/>
      <c r="DL16" s="2417"/>
      <c r="DM16" s="2417"/>
      <c r="DN16" s="2417"/>
      <c r="DO16" s="2417"/>
      <c r="DP16" s="2417"/>
      <c r="DQ16" s="2417"/>
      <c r="DR16" s="2417"/>
      <c r="DS16" s="2417"/>
      <c r="DT16" s="2417"/>
      <c r="DU16" s="2417"/>
      <c r="DV16" s="2417"/>
      <c r="DW16" s="2417"/>
      <c r="DX16" s="2417"/>
      <c r="DY16" s="2417"/>
      <c r="DZ16" s="2417"/>
      <c r="EA16" s="2417"/>
      <c r="EB16" s="2417"/>
      <c r="EC16" s="2417"/>
      <c r="ED16" s="2417"/>
      <c r="EE16" s="2417"/>
      <c r="EF16" s="2417"/>
      <c r="EG16" s="2417"/>
      <c r="EH16" s="2417"/>
      <c r="EI16" s="2417"/>
      <c r="EJ16" s="2417"/>
      <c r="EK16" s="2417"/>
      <c r="EL16" s="2417"/>
      <c r="EM16" s="2417"/>
      <c r="EN16" s="2417"/>
      <c r="EO16" s="2417"/>
      <c r="EP16" s="2417"/>
      <c r="EQ16" s="2417"/>
      <c r="ER16" s="2417"/>
      <c r="ES16" s="2417"/>
      <c r="ET16" s="2417"/>
      <c r="EU16" s="2417"/>
      <c r="EV16" s="2417"/>
      <c r="EW16" s="2417"/>
      <c r="EX16" s="2417"/>
      <c r="EY16" s="2417"/>
      <c r="EZ16" s="2417"/>
      <c r="FA16" s="2417"/>
      <c r="FB16" s="2417"/>
      <c r="FC16" s="2417"/>
      <c r="FD16" s="2417"/>
      <c r="FE16" s="2417"/>
      <c r="FF16" s="2417"/>
      <c r="FG16" s="2417"/>
      <c r="FH16" s="2417"/>
      <c r="FI16" s="2417"/>
      <c r="FJ16" s="2417"/>
      <c r="FK16" s="2417"/>
      <c r="FL16" s="2417"/>
      <c r="FM16" s="2417"/>
      <c r="FN16" s="2417"/>
      <c r="FO16" s="2417"/>
      <c r="FP16" s="2417"/>
      <c r="FQ16" s="2417"/>
      <c r="FR16" s="2417"/>
      <c r="FS16" s="2417"/>
      <c r="FT16" s="2417"/>
      <c r="FU16" s="2417"/>
      <c r="FV16" s="2417"/>
      <c r="FW16" s="2417"/>
      <c r="FX16" s="2417"/>
      <c r="FY16" s="2417"/>
      <c r="FZ16" s="2417"/>
      <c r="GA16" s="2417"/>
      <c r="GB16" s="2417"/>
      <c r="GC16" s="2417"/>
      <c r="GD16" s="2417"/>
      <c r="GE16" s="2417"/>
      <c r="GF16" s="2417"/>
      <c r="GG16" s="2417"/>
      <c r="GH16" s="2417"/>
      <c r="GI16" s="2417"/>
      <c r="GJ16" s="2417"/>
      <c r="GK16" s="2417"/>
      <c r="GL16" s="2417"/>
      <c r="GM16" s="2417"/>
      <c r="GN16" s="2417"/>
      <c r="GO16" s="2417"/>
      <c r="GP16" s="2417"/>
      <c r="GQ16" s="2417"/>
      <c r="GR16" s="2417"/>
      <c r="GS16" s="2417"/>
      <c r="GT16" s="2417"/>
      <c r="GU16" s="2417"/>
      <c r="GV16" s="2417"/>
      <c r="GW16" s="2417"/>
      <c r="GX16" s="2417"/>
      <c r="GY16" s="2417"/>
      <c r="GZ16" s="2417"/>
      <c r="HA16" s="2417"/>
      <c r="HB16" s="2417"/>
      <c r="HC16" s="2417"/>
      <c r="HD16" s="2417"/>
      <c r="HE16" s="2417"/>
      <c r="HF16" s="2417"/>
      <c r="HG16" s="2417"/>
      <c r="HH16" s="2417"/>
      <c r="HI16" s="2417"/>
      <c r="HJ16" s="2417"/>
      <c r="HK16" s="2417"/>
      <c r="HL16" s="2417"/>
      <c r="HM16" s="2417"/>
      <c r="HN16" s="2417"/>
      <c r="HO16" s="2417"/>
      <c r="HP16" s="2417"/>
      <c r="HQ16" s="2417"/>
      <c r="HR16" s="2417"/>
      <c r="HS16" s="2417"/>
      <c r="HT16" s="2417"/>
      <c r="HU16" s="2417"/>
      <c r="HV16" s="2417"/>
      <c r="HW16" s="2417"/>
      <c r="HX16" s="2417"/>
      <c r="HY16" s="2417"/>
      <c r="HZ16" s="2417"/>
      <c r="IA16" s="2417"/>
      <c r="IB16" s="2417"/>
      <c r="IC16" s="2417"/>
      <c r="ID16" s="2417"/>
      <c r="IE16" s="2417"/>
      <c r="IF16" s="2417"/>
      <c r="IG16" s="2417"/>
      <c r="IH16" s="2417"/>
      <c r="II16" s="2417"/>
      <c r="IJ16" s="2417"/>
      <c r="IK16" s="2417"/>
      <c r="IL16" s="2417"/>
      <c r="IM16" s="2417"/>
      <c r="IN16" s="2417"/>
      <c r="IO16" s="2417"/>
      <c r="IP16" s="2417"/>
      <c r="IQ16" s="2417"/>
      <c r="IR16" s="2417"/>
      <c r="IS16" s="2417"/>
      <c r="IT16" s="2417"/>
      <c r="IU16" s="2417"/>
      <c r="IV16" s="2417"/>
      <c r="IW16" s="2417"/>
      <c r="IX16" s="2417"/>
      <c r="IY16" s="2417"/>
      <c r="IZ16" s="2417"/>
      <c r="JA16" s="2417"/>
      <c r="JB16" s="2417"/>
      <c r="JC16" s="2417"/>
      <c r="JD16" s="2417"/>
      <c r="JE16" s="2417"/>
      <c r="JF16" s="2417"/>
      <c r="JG16" s="2417"/>
      <c r="JH16" s="2417"/>
      <c r="JI16" s="2417"/>
      <c r="JJ16" s="2417"/>
      <c r="JK16" s="2417"/>
      <c r="JL16" s="2417"/>
      <c r="JM16" s="2417"/>
      <c r="JN16" s="2417"/>
      <c r="JO16" s="2417"/>
      <c r="JP16" s="2417"/>
      <c r="JQ16" s="2417"/>
      <c r="JR16" s="2417"/>
      <c r="JS16" s="2417"/>
      <c r="JT16" s="2417"/>
      <c r="JU16" s="2417"/>
      <c r="JV16" s="2417"/>
      <c r="JW16" s="2417"/>
      <c r="JX16" s="2417"/>
      <c r="JY16" s="2417"/>
      <c r="JZ16" s="2417"/>
      <c r="KA16" s="2417"/>
      <c r="KB16" s="2417"/>
      <c r="KC16" s="2417"/>
      <c r="KD16" s="2417"/>
      <c r="KE16" s="2417"/>
      <c r="KF16" s="2417"/>
      <c r="KG16" s="2417"/>
      <c r="KH16" s="2417"/>
      <c r="KI16" s="2417"/>
      <c r="KJ16" s="2417"/>
      <c r="KK16" s="2417"/>
      <c r="KL16" s="2417"/>
      <c r="KM16" s="2417"/>
      <c r="KN16" s="2417"/>
      <c r="KO16" s="2417"/>
      <c r="KP16" s="2417"/>
      <c r="KQ16" s="2417"/>
      <c r="KR16" s="2417"/>
      <c r="KS16" s="2417"/>
      <c r="KT16" s="2417"/>
      <c r="KU16" s="2417"/>
      <c r="KV16" s="2417"/>
      <c r="KW16" s="2417"/>
      <c r="KX16" s="2417"/>
      <c r="KY16" s="2417"/>
      <c r="KZ16" s="2417"/>
      <c r="LA16" s="2417"/>
      <c r="LB16" s="2417"/>
      <c r="LC16" s="2417"/>
      <c r="LD16" s="2417"/>
      <c r="LE16" s="2417"/>
      <c r="LF16" s="2417"/>
      <c r="LG16" s="2417"/>
      <c r="LH16" s="2417"/>
      <c r="LI16" s="2417"/>
      <c r="LJ16" s="2417"/>
      <c r="LK16" s="2417"/>
      <c r="LL16" s="2417"/>
      <c r="LM16" s="2417"/>
      <c r="LN16" s="2417"/>
      <c r="LO16" s="2417"/>
      <c r="LP16" s="2417"/>
      <c r="LQ16" s="2417"/>
      <c r="LR16" s="2417"/>
      <c r="LS16" s="2417"/>
      <c r="LT16" s="2417"/>
      <c r="LU16" s="2417"/>
      <c r="LV16" s="2417"/>
      <c r="LW16" s="2417"/>
      <c r="LX16" s="2417"/>
      <c r="LY16" s="2417"/>
      <c r="LZ16" s="2417"/>
      <c r="MA16" s="2417"/>
      <c r="MB16" s="2417"/>
      <c r="MC16" s="2417"/>
      <c r="MD16" s="2417"/>
      <c r="ME16" s="2417"/>
      <c r="MF16" s="2417"/>
      <c r="MG16" s="2417"/>
      <c r="MH16" s="2417"/>
      <c r="MI16" s="2417"/>
      <c r="MJ16" s="2417"/>
      <c r="MK16" s="2417"/>
      <c r="ML16" s="2417"/>
      <c r="MM16" s="2417"/>
      <c r="MN16" s="2417"/>
      <c r="MO16" s="2417"/>
      <c r="MP16" s="2417"/>
      <c r="MQ16" s="2417"/>
      <c r="MR16" s="2417"/>
      <c r="MS16" s="2417"/>
      <c r="MT16" s="2417"/>
      <c r="MU16" s="2417"/>
      <c r="MV16" s="2417"/>
      <c r="MW16" s="2417"/>
      <c r="MX16" s="2417"/>
      <c r="MY16" s="2417"/>
      <c r="MZ16" s="2417"/>
      <c r="NA16" s="2417"/>
      <c r="NB16" s="2417"/>
      <c r="NC16" s="2417"/>
      <c r="ND16" s="2417"/>
      <c r="NE16" s="2417"/>
      <c r="NF16" s="2417"/>
      <c r="NG16" s="2417"/>
      <c r="NH16" s="2417"/>
      <c r="NI16" s="2417"/>
      <c r="NJ16" s="2417"/>
      <c r="NK16" s="2417"/>
      <c r="NL16" s="2417"/>
      <c r="NM16" s="2417"/>
      <c r="NN16" s="2417"/>
      <c r="NO16" s="2417"/>
      <c r="NP16" s="2417"/>
      <c r="NQ16" s="2417"/>
      <c r="NR16" s="2417"/>
      <c r="NS16" s="2417"/>
      <c r="NT16" s="2417"/>
      <c r="NU16" s="2417"/>
      <c r="NV16" s="2417"/>
      <c r="NW16" s="2417"/>
      <c r="NX16" s="2417"/>
      <c r="NY16" s="2417"/>
      <c r="NZ16" s="2417"/>
      <c r="OA16" s="2417"/>
      <c r="OB16" s="2417"/>
      <c r="OC16" s="2417"/>
      <c r="OD16" s="2417"/>
      <c r="OE16" s="2417"/>
      <c r="OF16" s="2417"/>
      <c r="OG16" s="2417"/>
      <c r="OH16" s="2417"/>
      <c r="OI16" s="2417"/>
      <c r="OJ16" s="2417"/>
      <c r="OK16" s="2417"/>
      <c r="OL16" s="2417"/>
    </row>
    <row r="17" spans="1:417" s="9" customFormat="1" ht="29.25" customHeight="1" x14ac:dyDescent="0.2">
      <c r="A17" s="3040"/>
      <c r="B17" s="3044"/>
      <c r="C17" s="3045"/>
      <c r="D17" s="2708"/>
      <c r="E17" s="3044"/>
      <c r="F17" s="3045"/>
      <c r="G17" s="438" t="s">
        <v>367</v>
      </c>
      <c r="H17" s="2215"/>
      <c r="I17" s="2215" t="s">
        <v>368</v>
      </c>
      <c r="J17" s="66"/>
      <c r="K17" s="67"/>
      <c r="L17" s="66"/>
      <c r="M17" s="66"/>
      <c r="N17" s="66"/>
      <c r="O17" s="66"/>
      <c r="P17" s="66"/>
      <c r="Q17" s="66"/>
      <c r="R17" s="66"/>
      <c r="S17" s="66"/>
      <c r="T17" s="66"/>
      <c r="U17" s="66"/>
      <c r="V17" s="66"/>
      <c r="W17" s="4852"/>
      <c r="X17" s="4852"/>
      <c r="Y17" s="4852"/>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row>
    <row r="18" spans="1:417" s="447" customFormat="1" ht="91.5" customHeight="1" x14ac:dyDescent="0.2">
      <c r="A18" s="3040"/>
      <c r="B18" s="3044"/>
      <c r="C18" s="3045"/>
      <c r="D18" s="2708"/>
      <c r="E18" s="3044"/>
      <c r="F18" s="3045"/>
      <c r="G18" s="2707">
        <v>15</v>
      </c>
      <c r="H18" s="3048" t="s">
        <v>369</v>
      </c>
      <c r="I18" s="3049"/>
      <c r="J18" s="2135">
        <v>57</v>
      </c>
      <c r="K18" s="2129" t="s">
        <v>370</v>
      </c>
      <c r="L18" s="2137" t="s">
        <v>19</v>
      </c>
      <c r="M18" s="2137">
        <v>12</v>
      </c>
      <c r="N18" s="2485">
        <v>12</v>
      </c>
      <c r="O18" s="2386" t="s">
        <v>371</v>
      </c>
      <c r="P18" s="2222">
        <v>20</v>
      </c>
      <c r="Q18" s="2224" t="s">
        <v>372</v>
      </c>
      <c r="R18" s="433">
        <f>+S18/W18*100</f>
        <v>100</v>
      </c>
      <c r="S18" s="427">
        <v>74683904</v>
      </c>
      <c r="T18" s="2209" t="s">
        <v>373</v>
      </c>
      <c r="U18" s="2200" t="s">
        <v>374</v>
      </c>
      <c r="V18" s="2386" t="s">
        <v>375</v>
      </c>
      <c r="W18" s="439">
        <v>74683904</v>
      </c>
      <c r="X18" s="440">
        <v>74683904</v>
      </c>
      <c r="Y18" s="440">
        <v>54164000</v>
      </c>
      <c r="Z18" s="441" t="s">
        <v>376</v>
      </c>
      <c r="AA18" s="2386" t="s">
        <v>377</v>
      </c>
      <c r="AB18" s="442">
        <v>37199</v>
      </c>
      <c r="AC18" s="443">
        <v>32324</v>
      </c>
      <c r="AD18" s="442">
        <v>98821</v>
      </c>
      <c r="AE18" s="443">
        <v>35765</v>
      </c>
      <c r="AF18" s="442">
        <v>50922</v>
      </c>
      <c r="AG18" s="443">
        <v>13582</v>
      </c>
      <c r="AH18" s="442"/>
      <c r="AI18" s="443"/>
      <c r="AJ18" s="442"/>
      <c r="AK18" s="443"/>
      <c r="AL18" s="442"/>
      <c r="AM18" s="443"/>
      <c r="AN18" s="442"/>
      <c r="AO18" s="443"/>
      <c r="AP18" s="442"/>
      <c r="AQ18" s="443"/>
      <c r="AR18" s="442"/>
      <c r="AS18" s="443"/>
      <c r="AT18" s="442"/>
      <c r="AU18" s="443"/>
      <c r="AV18" s="442"/>
      <c r="AW18" s="443"/>
      <c r="AX18" s="442"/>
      <c r="AY18" s="443"/>
      <c r="AZ18" s="2378">
        <v>6</v>
      </c>
      <c r="BA18" s="430">
        <v>74683904</v>
      </c>
      <c r="BB18" s="430">
        <v>54164000</v>
      </c>
      <c r="BC18" s="431">
        <f>+BB18/BA18</f>
        <v>0.72524328669267213</v>
      </c>
      <c r="BD18" s="2378" t="s">
        <v>378</v>
      </c>
      <c r="BE18" s="2378" t="s">
        <v>379</v>
      </c>
      <c r="BF18" s="2510">
        <v>42402</v>
      </c>
      <c r="BG18" s="2511">
        <v>42431</v>
      </c>
      <c r="BH18" s="2510">
        <v>42582</v>
      </c>
      <c r="BI18" s="2512">
        <v>42676</v>
      </c>
      <c r="BJ18" s="2217" t="s">
        <v>380</v>
      </c>
      <c r="BK18" s="444"/>
      <c r="BL18" s="445"/>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5"/>
      <c r="CO18" s="445"/>
      <c r="CP18" s="445"/>
      <c r="CQ18" s="445"/>
      <c r="CR18" s="445"/>
      <c r="CS18" s="445"/>
      <c r="CT18" s="445"/>
      <c r="CU18" s="445"/>
      <c r="CV18" s="445"/>
      <c r="CW18" s="445"/>
      <c r="CX18" s="445"/>
      <c r="CY18" s="445"/>
      <c r="CZ18" s="445"/>
      <c r="DA18" s="445"/>
      <c r="DB18" s="445"/>
      <c r="DC18" s="445"/>
      <c r="DD18" s="445"/>
      <c r="DE18" s="445"/>
      <c r="DF18" s="445"/>
      <c r="DG18" s="445"/>
      <c r="DH18" s="445"/>
      <c r="DI18" s="445"/>
      <c r="DJ18" s="445"/>
      <c r="DK18" s="445"/>
      <c r="DL18" s="445"/>
      <c r="DM18" s="445"/>
      <c r="DN18" s="445"/>
      <c r="DO18" s="445"/>
      <c r="DP18" s="445"/>
      <c r="DQ18" s="445"/>
      <c r="DR18" s="445"/>
      <c r="DS18" s="445"/>
      <c r="DT18" s="445"/>
      <c r="DU18" s="445"/>
      <c r="DV18" s="445"/>
      <c r="DW18" s="445"/>
      <c r="DX18" s="445"/>
      <c r="DY18" s="445"/>
      <c r="DZ18" s="445"/>
      <c r="EA18" s="445"/>
      <c r="EB18" s="445"/>
      <c r="EC18" s="445"/>
      <c r="ED18" s="445"/>
      <c r="EE18" s="445"/>
      <c r="EF18" s="445"/>
      <c r="EG18" s="445"/>
      <c r="EH18" s="445"/>
      <c r="EI18" s="445"/>
      <c r="EJ18" s="445"/>
      <c r="EK18" s="445"/>
      <c r="EL18" s="445"/>
      <c r="EM18" s="445"/>
      <c r="EN18" s="445"/>
      <c r="EO18" s="445"/>
      <c r="EP18" s="445"/>
      <c r="EQ18" s="445"/>
      <c r="ER18" s="445"/>
      <c r="ES18" s="445"/>
      <c r="ET18" s="445"/>
      <c r="EU18" s="445"/>
      <c r="EV18" s="445"/>
      <c r="EW18" s="445"/>
      <c r="EX18" s="445"/>
      <c r="EY18" s="445"/>
      <c r="EZ18" s="445"/>
      <c r="FA18" s="445"/>
      <c r="FB18" s="445"/>
      <c r="FC18" s="445"/>
      <c r="FD18" s="445"/>
      <c r="FE18" s="445"/>
      <c r="FF18" s="445"/>
      <c r="FG18" s="445"/>
      <c r="FH18" s="445"/>
      <c r="FI18" s="445"/>
      <c r="FJ18" s="445"/>
      <c r="FK18" s="445"/>
      <c r="FL18" s="445"/>
      <c r="FM18" s="445"/>
      <c r="FN18" s="445"/>
      <c r="FO18" s="445"/>
      <c r="FP18" s="445"/>
      <c r="FQ18" s="445"/>
      <c r="FR18" s="445"/>
      <c r="FS18" s="445"/>
      <c r="FT18" s="445"/>
      <c r="FU18" s="445"/>
      <c r="FV18" s="445"/>
      <c r="FW18" s="445"/>
      <c r="FX18" s="445"/>
      <c r="FY18" s="445"/>
      <c r="FZ18" s="445"/>
      <c r="GA18" s="445"/>
      <c r="GB18" s="445"/>
      <c r="GC18" s="445"/>
      <c r="GD18" s="445"/>
      <c r="GE18" s="445"/>
      <c r="GF18" s="445"/>
      <c r="GG18" s="445"/>
      <c r="GH18" s="445"/>
      <c r="GI18" s="445"/>
      <c r="GJ18" s="445"/>
      <c r="GK18" s="445"/>
      <c r="GL18" s="445"/>
      <c r="GM18" s="445"/>
      <c r="GN18" s="445"/>
      <c r="GO18" s="445"/>
      <c r="GP18" s="445"/>
      <c r="GQ18" s="445"/>
      <c r="GR18" s="445"/>
      <c r="GS18" s="445"/>
      <c r="GT18" s="445"/>
      <c r="GU18" s="445"/>
      <c r="GV18" s="445"/>
      <c r="GW18" s="445"/>
      <c r="GX18" s="445"/>
      <c r="GY18" s="445"/>
      <c r="GZ18" s="445"/>
      <c r="HA18" s="445"/>
      <c r="HB18" s="445"/>
      <c r="HC18" s="445"/>
      <c r="HD18" s="445"/>
      <c r="HE18" s="445"/>
      <c r="HF18" s="445"/>
      <c r="HG18" s="445"/>
      <c r="HH18" s="445"/>
      <c r="HI18" s="445"/>
      <c r="HJ18" s="445"/>
      <c r="HK18" s="445"/>
      <c r="HL18" s="445"/>
      <c r="HM18" s="445"/>
      <c r="HN18" s="445"/>
      <c r="HO18" s="445"/>
      <c r="HP18" s="445"/>
      <c r="HQ18" s="445"/>
      <c r="HR18" s="445"/>
      <c r="HS18" s="445"/>
      <c r="HT18" s="445"/>
      <c r="HU18" s="445"/>
      <c r="HV18" s="445"/>
      <c r="HW18" s="445"/>
      <c r="HX18" s="445"/>
      <c r="HY18" s="445"/>
      <c r="HZ18" s="445"/>
      <c r="IA18" s="445"/>
      <c r="IB18" s="445"/>
      <c r="IC18" s="445"/>
      <c r="ID18" s="445"/>
      <c r="IE18" s="445"/>
      <c r="IF18" s="445"/>
      <c r="IG18" s="445"/>
      <c r="IH18" s="445"/>
      <c r="II18" s="445"/>
      <c r="IJ18" s="445"/>
      <c r="IK18" s="445"/>
      <c r="IL18" s="445"/>
      <c r="IM18" s="445"/>
      <c r="IN18" s="445"/>
      <c r="IO18" s="445"/>
      <c r="IP18" s="445"/>
      <c r="IQ18" s="445"/>
      <c r="IR18" s="445"/>
      <c r="IS18" s="445"/>
      <c r="IT18" s="445"/>
      <c r="IU18" s="445"/>
      <c r="IV18" s="445"/>
      <c r="IW18" s="445"/>
      <c r="IX18" s="445"/>
      <c r="IY18" s="445"/>
      <c r="IZ18" s="445"/>
      <c r="JA18" s="445"/>
      <c r="JB18" s="445"/>
      <c r="JC18" s="445"/>
      <c r="JD18" s="445"/>
      <c r="JE18" s="445"/>
      <c r="JF18" s="445"/>
      <c r="JG18" s="445"/>
      <c r="JH18" s="445"/>
      <c r="JI18" s="445"/>
      <c r="JJ18" s="445"/>
      <c r="JK18" s="445"/>
      <c r="JL18" s="445"/>
      <c r="JM18" s="445"/>
      <c r="JN18" s="445"/>
      <c r="JO18" s="445"/>
      <c r="JP18" s="445"/>
      <c r="JQ18" s="445"/>
      <c r="JR18" s="445"/>
      <c r="JS18" s="445"/>
      <c r="JT18" s="445"/>
      <c r="JU18" s="445"/>
      <c r="JV18" s="445"/>
      <c r="JW18" s="445"/>
      <c r="JX18" s="445"/>
      <c r="JY18" s="445"/>
      <c r="JZ18" s="445"/>
      <c r="KA18" s="445"/>
      <c r="KB18" s="445"/>
      <c r="KC18" s="445"/>
      <c r="KD18" s="445"/>
      <c r="KE18" s="445"/>
      <c r="KF18" s="445"/>
      <c r="KG18" s="445"/>
      <c r="KH18" s="445"/>
      <c r="KI18" s="445"/>
      <c r="KJ18" s="445"/>
      <c r="KK18" s="445"/>
      <c r="KL18" s="445"/>
      <c r="KM18" s="445"/>
      <c r="KN18" s="445"/>
      <c r="KO18" s="445"/>
      <c r="KP18" s="445"/>
      <c r="KQ18" s="445"/>
      <c r="KR18" s="445"/>
      <c r="KS18" s="445"/>
      <c r="KT18" s="445"/>
      <c r="KU18" s="445"/>
      <c r="KV18" s="445"/>
      <c r="KW18" s="445"/>
      <c r="KX18" s="445"/>
      <c r="KY18" s="445"/>
      <c r="KZ18" s="445"/>
      <c r="LA18" s="445"/>
      <c r="LB18" s="445"/>
      <c r="LC18" s="445"/>
      <c r="LD18" s="445"/>
      <c r="LE18" s="445"/>
      <c r="LF18" s="445"/>
      <c r="LG18" s="445"/>
      <c r="LH18" s="445"/>
      <c r="LI18" s="445"/>
      <c r="LJ18" s="445"/>
      <c r="LK18" s="445"/>
      <c r="LL18" s="445"/>
      <c r="LM18" s="445"/>
      <c r="LN18" s="445"/>
      <c r="LO18" s="445"/>
      <c r="LP18" s="445"/>
      <c r="LQ18" s="445"/>
      <c r="LR18" s="445"/>
      <c r="LS18" s="445"/>
      <c r="LT18" s="445"/>
      <c r="LU18" s="445"/>
      <c r="LV18" s="445"/>
      <c r="LW18" s="445"/>
      <c r="LX18" s="445"/>
      <c r="LY18" s="445"/>
      <c r="LZ18" s="445"/>
      <c r="MA18" s="445"/>
      <c r="MB18" s="445"/>
      <c r="MC18" s="445"/>
      <c r="MD18" s="445"/>
      <c r="ME18" s="445"/>
      <c r="MF18" s="445"/>
      <c r="MG18" s="445"/>
      <c r="MH18" s="445"/>
      <c r="MI18" s="445"/>
      <c r="MJ18" s="445"/>
      <c r="MK18" s="445"/>
      <c r="ML18" s="445"/>
      <c r="MM18" s="445"/>
      <c r="MN18" s="445"/>
      <c r="MO18" s="445"/>
      <c r="MP18" s="445"/>
      <c r="MQ18" s="445"/>
      <c r="MR18" s="445"/>
      <c r="MS18" s="445"/>
      <c r="MT18" s="445"/>
      <c r="MU18" s="445"/>
      <c r="MV18" s="445"/>
      <c r="MW18" s="445"/>
      <c r="MX18" s="445"/>
      <c r="MY18" s="445"/>
      <c r="MZ18" s="445"/>
      <c r="NA18" s="445"/>
      <c r="NB18" s="445"/>
      <c r="NC18" s="445"/>
      <c r="ND18" s="445"/>
      <c r="NE18" s="445"/>
      <c r="NF18" s="445"/>
      <c r="NG18" s="445"/>
      <c r="NH18" s="445"/>
      <c r="NI18" s="445"/>
      <c r="NJ18" s="445"/>
      <c r="NK18" s="445"/>
      <c r="NL18" s="445"/>
      <c r="NM18" s="445"/>
      <c r="NN18" s="445"/>
      <c r="NO18" s="445"/>
      <c r="NP18" s="445"/>
      <c r="NQ18" s="445"/>
      <c r="NR18" s="445"/>
      <c r="NS18" s="445"/>
      <c r="NT18" s="445"/>
      <c r="NU18" s="445"/>
      <c r="NV18" s="445"/>
      <c r="NW18" s="445"/>
      <c r="NX18" s="445"/>
      <c r="NY18" s="445"/>
      <c r="NZ18" s="445"/>
      <c r="OA18" s="445"/>
      <c r="OB18" s="445"/>
      <c r="OC18" s="445"/>
      <c r="OD18" s="445"/>
      <c r="OE18" s="445"/>
      <c r="OF18" s="445"/>
      <c r="OG18" s="445"/>
      <c r="OH18" s="445"/>
      <c r="OI18" s="445"/>
      <c r="OJ18" s="445"/>
      <c r="OK18" s="445"/>
      <c r="OL18" s="445"/>
      <c r="OM18" s="445"/>
      <c r="ON18" s="445"/>
      <c r="OO18" s="445"/>
      <c r="OP18" s="445"/>
      <c r="OQ18" s="445"/>
      <c r="OR18" s="445"/>
      <c r="OS18" s="445"/>
      <c r="OT18" s="445"/>
      <c r="OU18" s="445"/>
      <c r="OV18" s="445"/>
      <c r="OW18" s="445"/>
      <c r="OX18" s="445"/>
      <c r="OY18" s="445"/>
      <c r="OZ18" s="445"/>
      <c r="PA18" s="446"/>
    </row>
    <row r="19" spans="1:417" s="437" customFormat="1" ht="89.25" customHeight="1" x14ac:dyDescent="0.2">
      <c r="A19" s="3040"/>
      <c r="B19" s="3044"/>
      <c r="C19" s="3045"/>
      <c r="D19" s="2708"/>
      <c r="E19" s="3044"/>
      <c r="F19" s="3045"/>
      <c r="G19" s="2708"/>
      <c r="H19" s="3050"/>
      <c r="I19" s="3051"/>
      <c r="J19" s="500">
        <v>57</v>
      </c>
      <c r="K19" s="498" t="s">
        <v>370</v>
      </c>
      <c r="L19" s="2099" t="s">
        <v>19</v>
      </c>
      <c r="M19" s="2099">
        <v>12</v>
      </c>
      <c r="N19" s="2485">
        <v>12</v>
      </c>
      <c r="O19" s="3054" t="s">
        <v>381</v>
      </c>
      <c r="P19" s="2707">
        <v>21</v>
      </c>
      <c r="Q19" s="3054" t="s">
        <v>382</v>
      </c>
      <c r="R19" s="448">
        <f>3475836000/5475836000*100</f>
        <v>63.475896648475228</v>
      </c>
      <c r="S19" s="449">
        <v>3478780888</v>
      </c>
      <c r="T19" s="3054" t="s">
        <v>383</v>
      </c>
      <c r="U19" s="3055" t="s">
        <v>384</v>
      </c>
      <c r="V19" s="2224" t="s">
        <v>375</v>
      </c>
      <c r="W19" s="439">
        <v>3478780888</v>
      </c>
      <c r="X19" s="440">
        <v>2722588973.6399999</v>
      </c>
      <c r="Y19" s="440">
        <v>1676312976.74</v>
      </c>
      <c r="Z19" s="441" t="s">
        <v>385</v>
      </c>
      <c r="AA19" s="2386" t="s">
        <v>377</v>
      </c>
      <c r="AB19" s="3061">
        <v>37199</v>
      </c>
      <c r="AC19" s="2931">
        <f>SUM(AB19*3%)</f>
        <v>1115.97</v>
      </c>
      <c r="AD19" s="3067" t="s">
        <v>357</v>
      </c>
      <c r="AE19" s="2931">
        <f>SUM(AD19*3%)</f>
        <v>2964.63</v>
      </c>
      <c r="AF19" s="3061">
        <v>50922</v>
      </c>
      <c r="AG19" s="2931">
        <f>SUM(AF19*3%)</f>
        <v>1527.6599999999999</v>
      </c>
      <c r="AH19" s="3061">
        <v>151591</v>
      </c>
      <c r="AI19" s="2931">
        <f>SUM(AH19*3%)</f>
        <v>4547.7299999999996</v>
      </c>
      <c r="AJ19" s="3061">
        <v>151591</v>
      </c>
      <c r="AK19" s="2931">
        <f>SUM(AJ19*3%)</f>
        <v>4547.7299999999996</v>
      </c>
      <c r="AL19" s="3061">
        <v>71991</v>
      </c>
      <c r="AM19" s="2931">
        <f>SUM(AL19*3%)</f>
        <v>2159.73</v>
      </c>
      <c r="AN19" s="3061">
        <v>12718</v>
      </c>
      <c r="AO19" s="2931">
        <f>SUM(AN19*3%)</f>
        <v>381.53999999999996</v>
      </c>
      <c r="AP19" s="3061">
        <v>2141</v>
      </c>
      <c r="AQ19" s="2931">
        <f>SUM(AP19*3%)</f>
        <v>64.23</v>
      </c>
      <c r="AR19" s="3061"/>
      <c r="AS19" s="3064"/>
      <c r="AT19" s="3061">
        <v>39704</v>
      </c>
      <c r="AU19" s="2931">
        <f>SUM(AT19*3%)</f>
        <v>1191.1199999999999</v>
      </c>
      <c r="AV19" s="3061">
        <v>41543</v>
      </c>
      <c r="AW19" s="2931">
        <f>SUM(AV19*3%)</f>
        <v>1246.29</v>
      </c>
      <c r="AX19" s="3061">
        <v>71991</v>
      </c>
      <c r="AY19" s="2931">
        <f>SUM(AX19*3%)</f>
        <v>2159.73</v>
      </c>
      <c r="AZ19" s="2378">
        <v>42</v>
      </c>
      <c r="BA19" s="435">
        <f>SUM(X19)</f>
        <v>2722588973.6399999</v>
      </c>
      <c r="BB19" s="435">
        <f>SUM(Y19)</f>
        <v>1676312976.74</v>
      </c>
      <c r="BC19" s="431">
        <f>SUM(Y19*1)/W19</f>
        <v>0.48186793900196911</v>
      </c>
      <c r="BD19" s="3090" t="s">
        <v>386</v>
      </c>
      <c r="BE19" s="2378" t="s">
        <v>387</v>
      </c>
      <c r="BF19" s="2510">
        <v>42583</v>
      </c>
      <c r="BG19" s="2511">
        <v>42712</v>
      </c>
      <c r="BH19" s="2510">
        <v>42735</v>
      </c>
      <c r="BI19" s="2511">
        <v>42735</v>
      </c>
      <c r="BJ19" s="450" t="s">
        <v>380</v>
      </c>
      <c r="BK19" s="3092"/>
      <c r="BL19" s="436"/>
      <c r="BM19" s="2417"/>
      <c r="BN19" s="2417"/>
      <c r="BO19" s="2417"/>
      <c r="BP19" s="2417"/>
      <c r="BQ19" s="2417"/>
      <c r="BR19" s="2417"/>
      <c r="BS19" s="2417"/>
      <c r="BT19" s="2417"/>
      <c r="BU19" s="2417"/>
      <c r="BV19" s="2417"/>
      <c r="BW19" s="2417"/>
      <c r="BX19" s="2417"/>
      <c r="BY19" s="2417"/>
      <c r="BZ19" s="2417"/>
      <c r="CA19" s="2417"/>
      <c r="CB19" s="2417"/>
      <c r="CC19" s="2417"/>
      <c r="CD19" s="2417"/>
      <c r="CE19" s="2417"/>
      <c r="CF19" s="2417"/>
      <c r="CG19" s="2417"/>
      <c r="CH19" s="2417"/>
      <c r="CI19" s="2417"/>
      <c r="CJ19" s="2417"/>
      <c r="CK19" s="2417"/>
      <c r="CL19" s="2417"/>
      <c r="CM19" s="2417"/>
      <c r="CN19" s="2417"/>
      <c r="CO19" s="2417"/>
      <c r="CP19" s="2417"/>
      <c r="CQ19" s="2417"/>
      <c r="CR19" s="2417"/>
      <c r="CS19" s="2417"/>
      <c r="CT19" s="2417"/>
      <c r="CU19" s="2417"/>
      <c r="CV19" s="2417"/>
      <c r="CW19" s="2417"/>
      <c r="CX19" s="2417"/>
      <c r="CY19" s="2417"/>
      <c r="CZ19" s="2417"/>
      <c r="DA19" s="2417"/>
      <c r="DB19" s="2417"/>
      <c r="DC19" s="2417"/>
      <c r="DD19" s="2417"/>
      <c r="DE19" s="2417"/>
      <c r="DF19" s="2417"/>
      <c r="DG19" s="2417"/>
      <c r="DH19" s="2417"/>
      <c r="DI19" s="2417"/>
      <c r="DJ19" s="2417"/>
      <c r="DK19" s="2417"/>
      <c r="DL19" s="2417"/>
      <c r="DM19" s="2417"/>
      <c r="DN19" s="2417"/>
      <c r="DO19" s="2417"/>
      <c r="DP19" s="2417"/>
      <c r="DQ19" s="2417"/>
      <c r="DR19" s="2417"/>
      <c r="DS19" s="2417"/>
      <c r="DT19" s="2417"/>
      <c r="DU19" s="2417"/>
      <c r="DV19" s="2417"/>
      <c r="DW19" s="2417"/>
      <c r="DX19" s="2417"/>
      <c r="DY19" s="2417"/>
      <c r="DZ19" s="2417"/>
      <c r="EA19" s="2417"/>
      <c r="EB19" s="2417"/>
      <c r="EC19" s="2417"/>
      <c r="ED19" s="2417"/>
      <c r="EE19" s="2417"/>
      <c r="EF19" s="2417"/>
      <c r="EG19" s="2417"/>
      <c r="EH19" s="2417"/>
      <c r="EI19" s="2417"/>
      <c r="EJ19" s="2417"/>
      <c r="EK19" s="2417"/>
      <c r="EL19" s="2417"/>
      <c r="EM19" s="2417"/>
      <c r="EN19" s="2417"/>
      <c r="EO19" s="2417"/>
      <c r="EP19" s="2417"/>
      <c r="EQ19" s="2417"/>
      <c r="ER19" s="2417"/>
      <c r="ES19" s="2417"/>
      <c r="ET19" s="2417"/>
      <c r="EU19" s="2417"/>
      <c r="EV19" s="2417"/>
      <c r="EW19" s="2417"/>
      <c r="EX19" s="2417"/>
      <c r="EY19" s="2417"/>
      <c r="EZ19" s="2417"/>
      <c r="FA19" s="2417"/>
      <c r="FB19" s="2417"/>
      <c r="FC19" s="2417"/>
      <c r="FD19" s="2417"/>
      <c r="FE19" s="2417"/>
      <c r="FF19" s="2417"/>
      <c r="FG19" s="2417"/>
      <c r="FH19" s="2417"/>
      <c r="FI19" s="2417"/>
      <c r="FJ19" s="2417"/>
      <c r="FK19" s="2417"/>
      <c r="FL19" s="2417"/>
      <c r="FM19" s="2417"/>
      <c r="FN19" s="2417"/>
      <c r="FO19" s="2417"/>
      <c r="FP19" s="2417"/>
      <c r="FQ19" s="2417"/>
      <c r="FR19" s="2417"/>
      <c r="FS19" s="2417"/>
      <c r="FT19" s="2417"/>
      <c r="FU19" s="2417"/>
      <c r="FV19" s="2417"/>
      <c r="FW19" s="2417"/>
      <c r="FX19" s="2417"/>
      <c r="FY19" s="2417"/>
      <c r="FZ19" s="2417"/>
      <c r="GA19" s="2417"/>
      <c r="GB19" s="2417"/>
      <c r="GC19" s="2417"/>
      <c r="GD19" s="2417"/>
      <c r="GE19" s="2417"/>
      <c r="GF19" s="2417"/>
      <c r="GG19" s="2417"/>
      <c r="GH19" s="2417"/>
      <c r="GI19" s="2417"/>
      <c r="GJ19" s="2417"/>
      <c r="GK19" s="2417"/>
      <c r="GL19" s="2417"/>
      <c r="GM19" s="2417"/>
      <c r="GN19" s="2417"/>
      <c r="GO19" s="2417"/>
      <c r="GP19" s="2417"/>
      <c r="GQ19" s="2417"/>
      <c r="GR19" s="2417"/>
      <c r="GS19" s="2417"/>
      <c r="GT19" s="2417"/>
      <c r="GU19" s="2417"/>
      <c r="GV19" s="2417"/>
      <c r="GW19" s="2417"/>
      <c r="GX19" s="2417"/>
      <c r="GY19" s="2417"/>
      <c r="GZ19" s="2417"/>
      <c r="HA19" s="2417"/>
      <c r="HB19" s="2417"/>
      <c r="HC19" s="2417"/>
      <c r="HD19" s="2417"/>
      <c r="HE19" s="2417"/>
      <c r="HF19" s="2417"/>
      <c r="HG19" s="2417"/>
      <c r="HH19" s="2417"/>
      <c r="HI19" s="2417"/>
      <c r="HJ19" s="2417"/>
      <c r="HK19" s="2417"/>
      <c r="HL19" s="2417"/>
      <c r="HM19" s="2417"/>
      <c r="HN19" s="2417"/>
      <c r="HO19" s="2417"/>
      <c r="HP19" s="2417"/>
      <c r="HQ19" s="2417"/>
      <c r="HR19" s="2417"/>
      <c r="HS19" s="2417"/>
      <c r="HT19" s="2417"/>
      <c r="HU19" s="2417"/>
      <c r="HV19" s="2417"/>
      <c r="HW19" s="2417"/>
      <c r="HX19" s="2417"/>
      <c r="HY19" s="2417"/>
      <c r="HZ19" s="2417"/>
      <c r="IA19" s="2417"/>
      <c r="IB19" s="2417"/>
      <c r="IC19" s="2417"/>
      <c r="ID19" s="2417"/>
      <c r="IE19" s="2417"/>
      <c r="IF19" s="2417"/>
      <c r="IG19" s="2417"/>
      <c r="IH19" s="2417"/>
      <c r="II19" s="2417"/>
      <c r="IJ19" s="2417"/>
      <c r="IK19" s="2417"/>
      <c r="IL19" s="2417"/>
      <c r="IM19" s="2417"/>
      <c r="IN19" s="2417"/>
      <c r="IO19" s="2417"/>
      <c r="IP19" s="2417"/>
      <c r="IQ19" s="2417"/>
      <c r="IR19" s="2417"/>
      <c r="IS19" s="2417"/>
      <c r="IT19" s="2417"/>
      <c r="IU19" s="2417"/>
      <c r="IV19" s="2417"/>
      <c r="IW19" s="2417"/>
      <c r="IX19" s="2417"/>
      <c r="IY19" s="2417"/>
      <c r="IZ19" s="2417"/>
      <c r="JA19" s="2417"/>
      <c r="JB19" s="2417"/>
      <c r="JC19" s="2417"/>
      <c r="JD19" s="2417"/>
      <c r="JE19" s="2417"/>
      <c r="JF19" s="2417"/>
      <c r="JG19" s="2417"/>
      <c r="JH19" s="2417"/>
      <c r="JI19" s="2417"/>
      <c r="JJ19" s="2417"/>
      <c r="JK19" s="2417"/>
      <c r="JL19" s="2417"/>
      <c r="JM19" s="2417"/>
      <c r="JN19" s="2417"/>
      <c r="JO19" s="2417"/>
      <c r="JP19" s="2417"/>
      <c r="JQ19" s="2417"/>
      <c r="JR19" s="2417"/>
      <c r="JS19" s="2417"/>
      <c r="JT19" s="2417"/>
      <c r="JU19" s="2417"/>
      <c r="JV19" s="2417"/>
      <c r="JW19" s="2417"/>
      <c r="JX19" s="2417"/>
      <c r="JY19" s="2417"/>
      <c r="JZ19" s="2417"/>
      <c r="KA19" s="2417"/>
      <c r="KB19" s="2417"/>
      <c r="KC19" s="2417"/>
      <c r="KD19" s="2417"/>
      <c r="KE19" s="2417"/>
      <c r="KF19" s="2417"/>
      <c r="KG19" s="2417"/>
      <c r="KH19" s="2417"/>
      <c r="KI19" s="2417"/>
      <c r="KJ19" s="2417"/>
      <c r="KK19" s="2417"/>
      <c r="KL19" s="2417"/>
      <c r="KM19" s="2417"/>
      <c r="KN19" s="2417"/>
      <c r="KO19" s="2417"/>
      <c r="KP19" s="2417"/>
      <c r="KQ19" s="2417"/>
      <c r="KR19" s="2417"/>
      <c r="KS19" s="2417"/>
      <c r="KT19" s="2417"/>
      <c r="KU19" s="2417"/>
      <c r="KV19" s="2417"/>
      <c r="KW19" s="2417"/>
      <c r="KX19" s="2417"/>
      <c r="KY19" s="2417"/>
      <c r="KZ19" s="2417"/>
      <c r="LA19" s="2417"/>
      <c r="LB19" s="2417"/>
      <c r="LC19" s="2417"/>
      <c r="LD19" s="2417"/>
      <c r="LE19" s="2417"/>
      <c r="LF19" s="2417"/>
      <c r="LG19" s="2417"/>
      <c r="LH19" s="2417"/>
      <c r="LI19" s="2417"/>
      <c r="LJ19" s="2417"/>
      <c r="LK19" s="2417"/>
      <c r="LL19" s="2417"/>
      <c r="LM19" s="2417"/>
      <c r="LN19" s="2417"/>
      <c r="LO19" s="2417"/>
      <c r="LP19" s="2417"/>
      <c r="LQ19" s="2417"/>
      <c r="LR19" s="2417"/>
      <c r="LS19" s="2417"/>
      <c r="LT19" s="2417"/>
      <c r="LU19" s="2417"/>
      <c r="LV19" s="2417"/>
      <c r="LW19" s="2417"/>
      <c r="LX19" s="2417"/>
      <c r="LY19" s="2417"/>
      <c r="LZ19" s="2417"/>
      <c r="MA19" s="2417"/>
      <c r="MB19" s="2417"/>
      <c r="MC19" s="2417"/>
      <c r="MD19" s="2417"/>
      <c r="ME19" s="2417"/>
      <c r="MF19" s="2417"/>
      <c r="MG19" s="2417"/>
      <c r="MH19" s="2417"/>
      <c r="MI19" s="2417"/>
      <c r="MJ19" s="2417"/>
      <c r="MK19" s="2417"/>
      <c r="ML19" s="2417"/>
      <c r="MM19" s="2417"/>
      <c r="MN19" s="2417"/>
      <c r="MO19" s="2417"/>
      <c r="MP19" s="2417"/>
      <c r="MQ19" s="2417"/>
      <c r="MR19" s="2417"/>
      <c r="MS19" s="2417"/>
      <c r="MT19" s="2417"/>
      <c r="MU19" s="2417"/>
      <c r="MV19" s="2417"/>
      <c r="MW19" s="2417"/>
      <c r="MX19" s="2417"/>
      <c r="MY19" s="2417"/>
      <c r="MZ19" s="2417"/>
      <c r="NA19" s="2417"/>
      <c r="NB19" s="2417"/>
      <c r="NC19" s="2417"/>
      <c r="ND19" s="2417"/>
      <c r="NE19" s="2417"/>
      <c r="NF19" s="2417"/>
      <c r="NG19" s="2417"/>
      <c r="NH19" s="2417"/>
      <c r="NI19" s="2417"/>
      <c r="NJ19" s="2417"/>
      <c r="NK19" s="2417"/>
      <c r="NL19" s="2417"/>
      <c r="NM19" s="2417"/>
      <c r="NN19" s="2417"/>
      <c r="NO19" s="2417"/>
      <c r="NP19" s="2417"/>
      <c r="NQ19" s="2417"/>
      <c r="NR19" s="2417"/>
      <c r="NS19" s="2417"/>
      <c r="NT19" s="2417"/>
      <c r="NU19" s="2417"/>
      <c r="NV19" s="2417"/>
      <c r="NW19" s="2417"/>
      <c r="NX19" s="2417"/>
      <c r="NY19" s="2417"/>
      <c r="NZ19" s="2417"/>
      <c r="OA19" s="2417"/>
      <c r="OB19" s="2417"/>
      <c r="OC19" s="2417"/>
      <c r="OD19" s="2417"/>
      <c r="OE19" s="2417"/>
      <c r="OF19" s="2417"/>
      <c r="OG19" s="2417"/>
      <c r="OH19" s="2417"/>
      <c r="OI19" s="2417"/>
      <c r="OJ19" s="2417"/>
      <c r="OK19" s="2417"/>
      <c r="OL19" s="2417"/>
      <c r="OM19" s="2417"/>
      <c r="ON19" s="2417"/>
      <c r="OO19" s="2417"/>
      <c r="OP19" s="2417"/>
      <c r="OQ19" s="2417"/>
      <c r="OR19" s="2417"/>
      <c r="OS19" s="2417"/>
      <c r="OT19" s="2417"/>
      <c r="OU19" s="2417"/>
      <c r="OV19" s="2417"/>
      <c r="OW19" s="2417"/>
      <c r="OX19" s="2417"/>
      <c r="OY19" s="2417"/>
      <c r="OZ19" s="2417"/>
      <c r="PA19" s="2417"/>
    </row>
    <row r="20" spans="1:417" s="437" customFormat="1" ht="107.25" customHeight="1" x14ac:dyDescent="0.2">
      <c r="A20" s="3040"/>
      <c r="B20" s="3044"/>
      <c r="C20" s="3045"/>
      <c r="D20" s="2708"/>
      <c r="E20" s="3044"/>
      <c r="F20" s="3045"/>
      <c r="G20" s="2708"/>
      <c r="H20" s="3050"/>
      <c r="I20" s="3051"/>
      <c r="J20" s="501">
        <v>59</v>
      </c>
      <c r="K20" s="2129" t="s">
        <v>388</v>
      </c>
      <c r="L20" s="2137" t="s">
        <v>19</v>
      </c>
      <c r="M20" s="2137">
        <v>12</v>
      </c>
      <c r="N20" s="2530">
        <v>10</v>
      </c>
      <c r="O20" s="3055"/>
      <c r="P20" s="2708"/>
      <c r="Q20" s="3055"/>
      <c r="R20" s="448">
        <f>1800000000/5475836000*100</f>
        <v>32.871693016372291</v>
      </c>
      <c r="S20" s="427">
        <f>1800000000+550000000</f>
        <v>2350000000</v>
      </c>
      <c r="T20" s="3055"/>
      <c r="U20" s="3055"/>
      <c r="V20" s="2386" t="s">
        <v>389</v>
      </c>
      <c r="W20" s="439">
        <f>SUM(S20)</f>
        <v>2350000000</v>
      </c>
      <c r="X20" s="440">
        <v>1623000000</v>
      </c>
      <c r="Y20" s="440">
        <v>811500000</v>
      </c>
      <c r="Z20" s="441" t="s">
        <v>385</v>
      </c>
      <c r="AA20" s="2386" t="s">
        <v>377</v>
      </c>
      <c r="AB20" s="3062"/>
      <c r="AC20" s="2939"/>
      <c r="AD20" s="3068"/>
      <c r="AE20" s="2939"/>
      <c r="AF20" s="3062"/>
      <c r="AG20" s="2939"/>
      <c r="AH20" s="3062"/>
      <c r="AI20" s="2939"/>
      <c r="AJ20" s="3062"/>
      <c r="AK20" s="2939"/>
      <c r="AL20" s="3062"/>
      <c r="AM20" s="2939"/>
      <c r="AN20" s="3062"/>
      <c r="AO20" s="2939"/>
      <c r="AP20" s="3062"/>
      <c r="AQ20" s="2939"/>
      <c r="AR20" s="3062"/>
      <c r="AS20" s="3065"/>
      <c r="AT20" s="3062"/>
      <c r="AU20" s="2939"/>
      <c r="AV20" s="3062"/>
      <c r="AW20" s="2939"/>
      <c r="AX20" s="3062"/>
      <c r="AY20" s="2939"/>
      <c r="AZ20" s="2378">
        <v>1</v>
      </c>
      <c r="BA20" s="435">
        <f>SUM(X20)</f>
        <v>1623000000</v>
      </c>
      <c r="BB20" s="435">
        <f>SUM(Y20)</f>
        <v>811500000</v>
      </c>
      <c r="BC20" s="431">
        <f>SUM(Y20*1)/W20</f>
        <v>0.34531914893617022</v>
      </c>
      <c r="BD20" s="3091"/>
      <c r="BE20" s="2378" t="s">
        <v>390</v>
      </c>
      <c r="BF20" s="2510">
        <v>42583</v>
      </c>
      <c r="BG20" s="2511">
        <v>42712</v>
      </c>
      <c r="BH20" s="2510">
        <v>42735</v>
      </c>
      <c r="BI20" s="2511">
        <v>42735</v>
      </c>
      <c r="BJ20" s="450" t="s">
        <v>380</v>
      </c>
      <c r="BK20" s="3092"/>
      <c r="BL20" s="436"/>
      <c r="BM20" s="2417"/>
      <c r="BN20" s="2417"/>
      <c r="BO20" s="2417"/>
      <c r="BP20" s="2417"/>
      <c r="BQ20" s="2417"/>
      <c r="BR20" s="2417"/>
      <c r="BS20" s="2417"/>
      <c r="BT20" s="2417"/>
      <c r="BU20" s="2417"/>
      <c r="BV20" s="2417"/>
      <c r="BW20" s="2417"/>
      <c r="BX20" s="2417"/>
      <c r="BY20" s="2417"/>
      <c r="BZ20" s="2417"/>
      <c r="CA20" s="2417"/>
      <c r="CB20" s="2417"/>
      <c r="CC20" s="2417"/>
      <c r="CD20" s="2417"/>
      <c r="CE20" s="2417"/>
      <c r="CF20" s="2417"/>
      <c r="CG20" s="2417"/>
      <c r="CH20" s="2417"/>
      <c r="CI20" s="2417"/>
      <c r="CJ20" s="2417"/>
      <c r="CK20" s="2417"/>
      <c r="CL20" s="2417"/>
      <c r="CM20" s="2417"/>
      <c r="CN20" s="2417"/>
      <c r="CO20" s="2417"/>
      <c r="CP20" s="2417"/>
      <c r="CQ20" s="2417"/>
      <c r="CR20" s="2417"/>
      <c r="CS20" s="2417"/>
      <c r="CT20" s="2417"/>
      <c r="CU20" s="2417"/>
      <c r="CV20" s="2417"/>
      <c r="CW20" s="2417"/>
      <c r="CX20" s="2417"/>
      <c r="CY20" s="2417"/>
      <c r="CZ20" s="2417"/>
      <c r="DA20" s="2417"/>
      <c r="DB20" s="2417"/>
      <c r="DC20" s="2417"/>
      <c r="DD20" s="2417"/>
      <c r="DE20" s="2417"/>
      <c r="DF20" s="2417"/>
      <c r="DG20" s="2417"/>
      <c r="DH20" s="2417"/>
      <c r="DI20" s="2417"/>
      <c r="DJ20" s="2417"/>
      <c r="DK20" s="2417"/>
      <c r="DL20" s="2417"/>
      <c r="DM20" s="2417"/>
      <c r="DN20" s="2417"/>
      <c r="DO20" s="2417"/>
      <c r="DP20" s="2417"/>
      <c r="DQ20" s="2417"/>
      <c r="DR20" s="2417"/>
      <c r="DS20" s="2417"/>
      <c r="DT20" s="2417"/>
      <c r="DU20" s="2417"/>
      <c r="DV20" s="2417"/>
      <c r="DW20" s="2417"/>
      <c r="DX20" s="2417"/>
      <c r="DY20" s="2417"/>
      <c r="DZ20" s="2417"/>
      <c r="EA20" s="2417"/>
      <c r="EB20" s="2417"/>
      <c r="EC20" s="2417"/>
      <c r="ED20" s="2417"/>
      <c r="EE20" s="2417"/>
      <c r="EF20" s="2417"/>
      <c r="EG20" s="2417"/>
      <c r="EH20" s="2417"/>
      <c r="EI20" s="2417"/>
      <c r="EJ20" s="2417"/>
      <c r="EK20" s="2417"/>
      <c r="EL20" s="2417"/>
      <c r="EM20" s="2417"/>
      <c r="EN20" s="2417"/>
      <c r="EO20" s="2417"/>
      <c r="EP20" s="2417"/>
      <c r="EQ20" s="2417"/>
      <c r="ER20" s="2417"/>
      <c r="ES20" s="2417"/>
      <c r="ET20" s="2417"/>
      <c r="EU20" s="2417"/>
      <c r="EV20" s="2417"/>
      <c r="EW20" s="2417"/>
      <c r="EX20" s="2417"/>
      <c r="EY20" s="2417"/>
      <c r="EZ20" s="2417"/>
      <c r="FA20" s="2417"/>
      <c r="FB20" s="2417"/>
      <c r="FC20" s="2417"/>
      <c r="FD20" s="2417"/>
      <c r="FE20" s="2417"/>
      <c r="FF20" s="2417"/>
      <c r="FG20" s="2417"/>
      <c r="FH20" s="2417"/>
      <c r="FI20" s="2417"/>
      <c r="FJ20" s="2417"/>
      <c r="FK20" s="2417"/>
      <c r="FL20" s="2417"/>
      <c r="FM20" s="2417"/>
      <c r="FN20" s="2417"/>
      <c r="FO20" s="2417"/>
      <c r="FP20" s="2417"/>
      <c r="FQ20" s="2417"/>
      <c r="FR20" s="2417"/>
      <c r="FS20" s="2417"/>
      <c r="FT20" s="2417"/>
      <c r="FU20" s="2417"/>
      <c r="FV20" s="2417"/>
      <c r="FW20" s="2417"/>
      <c r="FX20" s="2417"/>
      <c r="FY20" s="2417"/>
      <c r="FZ20" s="2417"/>
      <c r="GA20" s="2417"/>
      <c r="GB20" s="2417"/>
      <c r="GC20" s="2417"/>
      <c r="GD20" s="2417"/>
      <c r="GE20" s="2417"/>
      <c r="GF20" s="2417"/>
      <c r="GG20" s="2417"/>
      <c r="GH20" s="2417"/>
      <c r="GI20" s="2417"/>
      <c r="GJ20" s="2417"/>
      <c r="GK20" s="2417"/>
      <c r="GL20" s="2417"/>
      <c r="GM20" s="2417"/>
      <c r="GN20" s="2417"/>
      <c r="GO20" s="2417"/>
      <c r="GP20" s="2417"/>
      <c r="GQ20" s="2417"/>
      <c r="GR20" s="2417"/>
      <c r="GS20" s="2417"/>
      <c r="GT20" s="2417"/>
      <c r="GU20" s="2417"/>
      <c r="GV20" s="2417"/>
      <c r="GW20" s="2417"/>
      <c r="GX20" s="2417"/>
      <c r="GY20" s="2417"/>
      <c r="GZ20" s="2417"/>
      <c r="HA20" s="2417"/>
      <c r="HB20" s="2417"/>
      <c r="HC20" s="2417"/>
      <c r="HD20" s="2417"/>
      <c r="HE20" s="2417"/>
      <c r="HF20" s="2417"/>
      <c r="HG20" s="2417"/>
      <c r="HH20" s="2417"/>
      <c r="HI20" s="2417"/>
      <c r="HJ20" s="2417"/>
      <c r="HK20" s="2417"/>
      <c r="HL20" s="2417"/>
      <c r="HM20" s="2417"/>
      <c r="HN20" s="2417"/>
      <c r="HO20" s="2417"/>
      <c r="HP20" s="2417"/>
      <c r="HQ20" s="2417"/>
      <c r="HR20" s="2417"/>
      <c r="HS20" s="2417"/>
      <c r="HT20" s="2417"/>
      <c r="HU20" s="2417"/>
      <c r="HV20" s="2417"/>
      <c r="HW20" s="2417"/>
      <c r="HX20" s="2417"/>
      <c r="HY20" s="2417"/>
      <c r="HZ20" s="2417"/>
      <c r="IA20" s="2417"/>
      <c r="IB20" s="2417"/>
      <c r="IC20" s="2417"/>
      <c r="ID20" s="2417"/>
      <c r="IE20" s="2417"/>
      <c r="IF20" s="2417"/>
      <c r="IG20" s="2417"/>
      <c r="IH20" s="2417"/>
      <c r="II20" s="2417"/>
      <c r="IJ20" s="2417"/>
      <c r="IK20" s="2417"/>
      <c r="IL20" s="2417"/>
      <c r="IM20" s="2417"/>
      <c r="IN20" s="2417"/>
      <c r="IO20" s="2417"/>
      <c r="IP20" s="2417"/>
      <c r="IQ20" s="2417"/>
      <c r="IR20" s="2417"/>
      <c r="IS20" s="2417"/>
      <c r="IT20" s="2417"/>
      <c r="IU20" s="2417"/>
      <c r="IV20" s="2417"/>
      <c r="IW20" s="2417"/>
      <c r="IX20" s="2417"/>
      <c r="IY20" s="2417"/>
      <c r="IZ20" s="2417"/>
      <c r="JA20" s="2417"/>
      <c r="JB20" s="2417"/>
      <c r="JC20" s="2417"/>
      <c r="JD20" s="2417"/>
      <c r="JE20" s="2417"/>
      <c r="JF20" s="2417"/>
      <c r="JG20" s="2417"/>
      <c r="JH20" s="2417"/>
      <c r="JI20" s="2417"/>
      <c r="JJ20" s="2417"/>
      <c r="JK20" s="2417"/>
      <c r="JL20" s="2417"/>
      <c r="JM20" s="2417"/>
      <c r="JN20" s="2417"/>
      <c r="JO20" s="2417"/>
      <c r="JP20" s="2417"/>
      <c r="JQ20" s="2417"/>
      <c r="JR20" s="2417"/>
      <c r="JS20" s="2417"/>
      <c r="JT20" s="2417"/>
      <c r="JU20" s="2417"/>
      <c r="JV20" s="2417"/>
      <c r="JW20" s="2417"/>
      <c r="JX20" s="2417"/>
      <c r="JY20" s="2417"/>
      <c r="JZ20" s="2417"/>
      <c r="KA20" s="2417"/>
      <c r="KB20" s="2417"/>
      <c r="KC20" s="2417"/>
      <c r="KD20" s="2417"/>
      <c r="KE20" s="2417"/>
      <c r="KF20" s="2417"/>
      <c r="KG20" s="2417"/>
      <c r="KH20" s="2417"/>
      <c r="KI20" s="2417"/>
      <c r="KJ20" s="2417"/>
      <c r="KK20" s="2417"/>
      <c r="KL20" s="2417"/>
      <c r="KM20" s="2417"/>
      <c r="KN20" s="2417"/>
      <c r="KO20" s="2417"/>
      <c r="KP20" s="2417"/>
      <c r="KQ20" s="2417"/>
      <c r="KR20" s="2417"/>
      <c r="KS20" s="2417"/>
      <c r="KT20" s="2417"/>
      <c r="KU20" s="2417"/>
      <c r="KV20" s="2417"/>
      <c r="KW20" s="2417"/>
      <c r="KX20" s="2417"/>
      <c r="KY20" s="2417"/>
      <c r="KZ20" s="2417"/>
      <c r="LA20" s="2417"/>
      <c r="LB20" s="2417"/>
      <c r="LC20" s="2417"/>
      <c r="LD20" s="2417"/>
      <c r="LE20" s="2417"/>
      <c r="LF20" s="2417"/>
      <c r="LG20" s="2417"/>
      <c r="LH20" s="2417"/>
      <c r="LI20" s="2417"/>
      <c r="LJ20" s="2417"/>
      <c r="LK20" s="2417"/>
      <c r="LL20" s="2417"/>
      <c r="LM20" s="2417"/>
      <c r="LN20" s="2417"/>
      <c r="LO20" s="2417"/>
      <c r="LP20" s="2417"/>
      <c r="LQ20" s="2417"/>
      <c r="LR20" s="2417"/>
      <c r="LS20" s="2417"/>
      <c r="LT20" s="2417"/>
      <c r="LU20" s="2417"/>
      <c r="LV20" s="2417"/>
      <c r="LW20" s="2417"/>
      <c r="LX20" s="2417"/>
      <c r="LY20" s="2417"/>
      <c r="LZ20" s="2417"/>
      <c r="MA20" s="2417"/>
      <c r="MB20" s="2417"/>
      <c r="MC20" s="2417"/>
      <c r="MD20" s="2417"/>
      <c r="ME20" s="2417"/>
      <c r="MF20" s="2417"/>
      <c r="MG20" s="2417"/>
      <c r="MH20" s="2417"/>
      <c r="MI20" s="2417"/>
      <c r="MJ20" s="2417"/>
      <c r="MK20" s="2417"/>
      <c r="ML20" s="2417"/>
      <c r="MM20" s="2417"/>
      <c r="MN20" s="2417"/>
      <c r="MO20" s="2417"/>
      <c r="MP20" s="2417"/>
      <c r="MQ20" s="2417"/>
      <c r="MR20" s="2417"/>
      <c r="MS20" s="2417"/>
      <c r="MT20" s="2417"/>
      <c r="MU20" s="2417"/>
      <c r="MV20" s="2417"/>
      <c r="MW20" s="2417"/>
      <c r="MX20" s="2417"/>
      <c r="MY20" s="2417"/>
      <c r="MZ20" s="2417"/>
      <c r="NA20" s="2417"/>
      <c r="NB20" s="2417"/>
      <c r="NC20" s="2417"/>
      <c r="ND20" s="2417"/>
      <c r="NE20" s="2417"/>
      <c r="NF20" s="2417"/>
      <c r="NG20" s="2417"/>
      <c r="NH20" s="2417"/>
      <c r="NI20" s="2417"/>
      <c r="NJ20" s="2417"/>
      <c r="NK20" s="2417"/>
      <c r="NL20" s="2417"/>
      <c r="NM20" s="2417"/>
      <c r="NN20" s="2417"/>
      <c r="NO20" s="2417"/>
      <c r="NP20" s="2417"/>
      <c r="NQ20" s="2417"/>
      <c r="NR20" s="2417"/>
      <c r="NS20" s="2417"/>
      <c r="NT20" s="2417"/>
      <c r="NU20" s="2417"/>
      <c r="NV20" s="2417"/>
      <c r="NW20" s="2417"/>
      <c r="NX20" s="2417"/>
      <c r="NY20" s="2417"/>
      <c r="NZ20" s="2417"/>
      <c r="OA20" s="2417"/>
      <c r="OB20" s="2417"/>
      <c r="OC20" s="2417"/>
      <c r="OD20" s="2417"/>
      <c r="OE20" s="2417"/>
      <c r="OF20" s="2417"/>
      <c r="OG20" s="2417"/>
      <c r="OH20" s="2417"/>
      <c r="OI20" s="2417"/>
      <c r="OJ20" s="2417"/>
      <c r="OK20" s="2417"/>
      <c r="OL20" s="2417"/>
      <c r="OM20" s="2417"/>
      <c r="ON20" s="2417"/>
      <c r="OO20" s="2417"/>
      <c r="OP20" s="2417"/>
      <c r="OQ20" s="2417"/>
      <c r="OR20" s="2417"/>
      <c r="OS20" s="2417"/>
      <c r="OT20" s="2417"/>
      <c r="OU20" s="2417"/>
      <c r="OV20" s="2417"/>
      <c r="OW20" s="2417"/>
      <c r="OX20" s="2417"/>
      <c r="OY20" s="2417"/>
      <c r="OZ20" s="2417"/>
      <c r="PA20" s="2417"/>
    </row>
    <row r="21" spans="1:417" s="197" customFormat="1" ht="130.5" customHeight="1" x14ac:dyDescent="0.2">
      <c r="A21" s="3040"/>
      <c r="B21" s="3044"/>
      <c r="C21" s="3045"/>
      <c r="D21" s="2708"/>
      <c r="E21" s="3044"/>
      <c r="F21" s="3045"/>
      <c r="G21" s="2708"/>
      <c r="H21" s="3050"/>
      <c r="I21" s="3051"/>
      <c r="J21" s="500">
        <v>61</v>
      </c>
      <c r="K21" s="498" t="s">
        <v>391</v>
      </c>
      <c r="L21" s="2099" t="s">
        <v>19</v>
      </c>
      <c r="M21" s="2102">
        <v>1</v>
      </c>
      <c r="N21" s="2530">
        <v>2</v>
      </c>
      <c r="O21" s="3055"/>
      <c r="P21" s="2708"/>
      <c r="Q21" s="3055"/>
      <c r="R21" s="448">
        <f>170000000/5475836000*100</f>
        <v>3.1045487848796056</v>
      </c>
      <c r="S21" s="449">
        <v>438000000</v>
      </c>
      <c r="T21" s="3055"/>
      <c r="U21" s="3055"/>
      <c r="V21" s="2224" t="s">
        <v>392</v>
      </c>
      <c r="W21" s="4853">
        <f>SUM(S21)</f>
        <v>438000000</v>
      </c>
      <c r="X21" s="440">
        <v>77426192</v>
      </c>
      <c r="Y21" s="440">
        <f>55146259</f>
        <v>55146259</v>
      </c>
      <c r="Z21" s="2378" t="s">
        <v>393</v>
      </c>
      <c r="AA21" s="2200" t="s">
        <v>165</v>
      </c>
      <c r="AB21" s="3062"/>
      <c r="AC21" s="2939"/>
      <c r="AD21" s="3068"/>
      <c r="AE21" s="2939"/>
      <c r="AF21" s="3062"/>
      <c r="AG21" s="2939"/>
      <c r="AH21" s="3062"/>
      <c r="AI21" s="2939"/>
      <c r="AJ21" s="3062"/>
      <c r="AK21" s="2939"/>
      <c r="AL21" s="3062"/>
      <c r="AM21" s="2939"/>
      <c r="AN21" s="3062"/>
      <c r="AO21" s="2939"/>
      <c r="AP21" s="3062"/>
      <c r="AQ21" s="2939"/>
      <c r="AR21" s="3062"/>
      <c r="AS21" s="3065"/>
      <c r="AT21" s="3062"/>
      <c r="AU21" s="2939"/>
      <c r="AV21" s="3062"/>
      <c r="AW21" s="2939"/>
      <c r="AX21" s="3062"/>
      <c r="AY21" s="2939"/>
      <c r="AZ21" s="2378">
        <v>4</v>
      </c>
      <c r="BA21" s="435">
        <v>77426000</v>
      </c>
      <c r="BB21" s="435">
        <v>55146000</v>
      </c>
      <c r="BC21" s="431">
        <f>SUM(Y21*1)/W21</f>
        <v>0.12590470091324202</v>
      </c>
      <c r="BD21" s="3090" t="s">
        <v>66</v>
      </c>
      <c r="BE21" s="3090" t="s">
        <v>394</v>
      </c>
      <c r="BF21" s="2510">
        <v>42583</v>
      </c>
      <c r="BG21" s="2511">
        <v>42712</v>
      </c>
      <c r="BH21" s="2510">
        <v>42735</v>
      </c>
      <c r="BI21" s="2511">
        <v>42735</v>
      </c>
      <c r="BJ21" s="450" t="s">
        <v>380</v>
      </c>
      <c r="BK21" s="451"/>
      <c r="BL21" s="436"/>
      <c r="BM21" s="2456"/>
      <c r="BN21" s="2456"/>
      <c r="BO21" s="2456"/>
      <c r="BP21" s="2456"/>
      <c r="BQ21" s="2456"/>
      <c r="BR21" s="2456"/>
      <c r="BS21" s="2456"/>
      <c r="BT21" s="2456"/>
      <c r="BU21" s="2456"/>
      <c r="BV21" s="2456"/>
      <c r="BW21" s="2456"/>
      <c r="BX21" s="2456"/>
      <c r="BY21" s="2456"/>
      <c r="BZ21" s="2456"/>
      <c r="CA21" s="2456"/>
      <c r="CB21" s="2456"/>
      <c r="CC21" s="2456"/>
      <c r="CD21" s="2456"/>
      <c r="CE21" s="2456"/>
      <c r="CF21" s="2456"/>
      <c r="CG21" s="2456"/>
      <c r="CH21" s="2456"/>
      <c r="CI21" s="2456"/>
      <c r="CJ21" s="2456"/>
      <c r="CK21" s="2456"/>
      <c r="CL21" s="2456"/>
      <c r="CM21" s="2456"/>
      <c r="CN21" s="2456"/>
      <c r="CO21" s="2456"/>
      <c r="CP21" s="2456"/>
      <c r="CQ21" s="2456"/>
      <c r="CR21" s="2456"/>
      <c r="CS21" s="2456"/>
      <c r="CT21" s="2456"/>
      <c r="CU21" s="2456"/>
      <c r="CV21" s="2456"/>
      <c r="CW21" s="2456"/>
      <c r="CX21" s="2456"/>
      <c r="CY21" s="2456"/>
      <c r="CZ21" s="2456"/>
      <c r="DA21" s="2456"/>
      <c r="DB21" s="2456"/>
      <c r="DC21" s="2456"/>
      <c r="DD21" s="2456"/>
      <c r="DE21" s="2456"/>
      <c r="DF21" s="2456"/>
      <c r="DG21" s="2456"/>
      <c r="DH21" s="2456"/>
      <c r="DI21" s="2456"/>
      <c r="DJ21" s="2456"/>
      <c r="DK21" s="2456"/>
      <c r="DL21" s="2456"/>
      <c r="DM21" s="2456"/>
      <c r="DN21" s="2456"/>
      <c r="DO21" s="2456"/>
      <c r="DP21" s="2456"/>
      <c r="DQ21" s="2456"/>
      <c r="DR21" s="2456"/>
      <c r="DS21" s="2456"/>
      <c r="DT21" s="2456"/>
      <c r="DU21" s="2456"/>
      <c r="DV21" s="2456"/>
      <c r="DW21" s="2456"/>
      <c r="DX21" s="2456"/>
      <c r="DY21" s="2456"/>
      <c r="DZ21" s="2456"/>
      <c r="EA21" s="2456"/>
      <c r="EB21" s="2456"/>
      <c r="EC21" s="2456"/>
      <c r="ED21" s="2456"/>
      <c r="EE21" s="2456"/>
      <c r="EF21" s="2456"/>
      <c r="EG21" s="2456"/>
      <c r="EH21" s="2456"/>
      <c r="EI21" s="2456"/>
      <c r="EJ21" s="2456"/>
      <c r="EK21" s="2456"/>
      <c r="EL21" s="2456"/>
      <c r="EM21" s="2456"/>
      <c r="EN21" s="2456"/>
      <c r="EO21" s="2456"/>
      <c r="EP21" s="2456"/>
      <c r="EQ21" s="2456"/>
      <c r="ER21" s="2456"/>
      <c r="ES21" s="2456"/>
      <c r="ET21" s="2456"/>
      <c r="EU21" s="2456"/>
      <c r="EV21" s="2456"/>
      <c r="EW21" s="2456"/>
      <c r="EX21" s="2456"/>
      <c r="EY21" s="2456"/>
      <c r="EZ21" s="2456"/>
      <c r="FA21" s="2456"/>
      <c r="FB21" s="2456"/>
      <c r="FC21" s="2456"/>
      <c r="FD21" s="2456"/>
      <c r="FE21" s="2456"/>
      <c r="FF21" s="2456"/>
      <c r="FG21" s="2456"/>
      <c r="FH21" s="2456"/>
      <c r="FI21" s="2456"/>
      <c r="FJ21" s="2456"/>
      <c r="FK21" s="2456"/>
      <c r="FL21" s="2456"/>
      <c r="FM21" s="2456"/>
      <c r="FN21" s="2456"/>
      <c r="FO21" s="2456"/>
      <c r="FP21" s="2456"/>
      <c r="FQ21" s="2456"/>
      <c r="FR21" s="2456"/>
      <c r="FS21" s="2456"/>
      <c r="FT21" s="2456"/>
      <c r="FU21" s="2456"/>
      <c r="FV21" s="2456"/>
      <c r="FW21" s="2456"/>
      <c r="FX21" s="2456"/>
      <c r="FY21" s="2456"/>
      <c r="FZ21" s="2456"/>
      <c r="GA21" s="2456"/>
      <c r="GB21" s="2456"/>
      <c r="GC21" s="2456"/>
      <c r="GD21" s="2456"/>
      <c r="GE21" s="2456"/>
      <c r="GF21" s="2456"/>
      <c r="GG21" s="2456"/>
      <c r="GH21" s="2456"/>
      <c r="GI21" s="2456"/>
      <c r="GJ21" s="2456"/>
      <c r="GK21" s="2456"/>
      <c r="GL21" s="2456"/>
      <c r="GM21" s="2456"/>
      <c r="GN21" s="2456"/>
      <c r="GO21" s="2456"/>
      <c r="GP21" s="2456"/>
      <c r="GQ21" s="2456"/>
      <c r="GR21" s="2456"/>
      <c r="GS21" s="2456"/>
      <c r="GT21" s="2456"/>
      <c r="GU21" s="2456"/>
      <c r="GV21" s="2456"/>
      <c r="GW21" s="2456"/>
      <c r="GX21" s="2456"/>
      <c r="GY21" s="2456"/>
      <c r="GZ21" s="2456"/>
      <c r="HA21" s="2456"/>
      <c r="HB21" s="2456"/>
      <c r="HC21" s="2456"/>
      <c r="HD21" s="2456"/>
      <c r="HE21" s="2456"/>
      <c r="HF21" s="2456"/>
      <c r="HG21" s="2456"/>
      <c r="HH21" s="2456"/>
      <c r="HI21" s="2456"/>
      <c r="HJ21" s="2456"/>
      <c r="HK21" s="2456"/>
      <c r="HL21" s="2456"/>
      <c r="HM21" s="2456"/>
      <c r="HN21" s="2456"/>
      <c r="HO21" s="2456"/>
      <c r="HP21" s="2456"/>
      <c r="HQ21" s="2456"/>
      <c r="HR21" s="2456"/>
      <c r="HS21" s="2456"/>
      <c r="HT21" s="2456"/>
      <c r="HU21" s="2456"/>
      <c r="HV21" s="2456"/>
      <c r="HW21" s="2456"/>
      <c r="HX21" s="2456"/>
      <c r="HY21" s="2456"/>
      <c r="HZ21" s="2456"/>
      <c r="IA21" s="2456"/>
      <c r="IB21" s="2456"/>
      <c r="IC21" s="2456"/>
      <c r="ID21" s="2456"/>
      <c r="IE21" s="2456"/>
      <c r="IF21" s="2456"/>
      <c r="IG21" s="2456"/>
      <c r="IH21" s="2456"/>
      <c r="II21" s="2456"/>
      <c r="IJ21" s="2456"/>
      <c r="IK21" s="2456"/>
      <c r="IL21" s="2456"/>
      <c r="IM21" s="2456"/>
      <c r="IN21" s="2456"/>
      <c r="IO21" s="2456"/>
      <c r="IP21" s="2456"/>
      <c r="IQ21" s="2456"/>
      <c r="IR21" s="2456"/>
      <c r="IS21" s="2456"/>
      <c r="IT21" s="2456"/>
      <c r="IU21" s="2456"/>
      <c r="IV21" s="2456"/>
      <c r="IW21" s="2456"/>
      <c r="IX21" s="2456"/>
      <c r="IY21" s="2456"/>
      <c r="IZ21" s="2456"/>
      <c r="JA21" s="2456"/>
      <c r="JB21" s="2456"/>
      <c r="JC21" s="2456"/>
      <c r="JD21" s="2456"/>
      <c r="JE21" s="2456"/>
      <c r="JF21" s="2456"/>
      <c r="JG21" s="2456"/>
      <c r="JH21" s="2456"/>
      <c r="JI21" s="2456"/>
      <c r="JJ21" s="2456"/>
      <c r="JK21" s="2456"/>
      <c r="JL21" s="2456"/>
      <c r="JM21" s="2456"/>
      <c r="JN21" s="2456"/>
      <c r="JO21" s="2456"/>
      <c r="JP21" s="2456"/>
      <c r="JQ21" s="2456"/>
      <c r="JR21" s="2456"/>
      <c r="JS21" s="2456"/>
      <c r="JT21" s="2456"/>
      <c r="JU21" s="2456"/>
      <c r="JV21" s="2456"/>
      <c r="JW21" s="2456"/>
      <c r="JX21" s="2456"/>
      <c r="JY21" s="2456"/>
      <c r="JZ21" s="2456"/>
      <c r="KA21" s="2456"/>
      <c r="KB21" s="2456"/>
      <c r="KC21" s="2456"/>
      <c r="KD21" s="2456"/>
      <c r="KE21" s="2456"/>
      <c r="KF21" s="2456"/>
      <c r="KG21" s="2456"/>
      <c r="KH21" s="2456"/>
      <c r="KI21" s="2456"/>
      <c r="KJ21" s="2456"/>
      <c r="KK21" s="2456"/>
      <c r="KL21" s="2456"/>
      <c r="KM21" s="2456"/>
      <c r="KN21" s="2456"/>
      <c r="KO21" s="2456"/>
      <c r="KP21" s="2456"/>
      <c r="KQ21" s="2456"/>
      <c r="KR21" s="2456"/>
      <c r="KS21" s="2456"/>
      <c r="KT21" s="2456"/>
      <c r="KU21" s="2456"/>
      <c r="KV21" s="2456"/>
      <c r="KW21" s="2456"/>
      <c r="KX21" s="2456"/>
      <c r="KY21" s="2456"/>
      <c r="KZ21" s="2456"/>
      <c r="LA21" s="2456"/>
      <c r="LB21" s="2456"/>
      <c r="LC21" s="2456"/>
      <c r="LD21" s="2456"/>
      <c r="LE21" s="2456"/>
      <c r="LF21" s="2456"/>
      <c r="LG21" s="2456"/>
      <c r="LH21" s="2456"/>
      <c r="LI21" s="2456"/>
      <c r="LJ21" s="2456"/>
      <c r="LK21" s="2456"/>
      <c r="LL21" s="2456"/>
      <c r="LM21" s="2456"/>
      <c r="LN21" s="2456"/>
      <c r="LO21" s="2456"/>
      <c r="LP21" s="2456"/>
      <c r="LQ21" s="2456"/>
      <c r="LR21" s="2456"/>
      <c r="LS21" s="2456"/>
      <c r="LT21" s="2456"/>
      <c r="LU21" s="2456"/>
      <c r="LV21" s="2456"/>
      <c r="LW21" s="2456"/>
      <c r="LX21" s="2456"/>
      <c r="LY21" s="2456"/>
      <c r="LZ21" s="2456"/>
      <c r="MA21" s="2456"/>
      <c r="MB21" s="2456"/>
      <c r="MC21" s="2456"/>
      <c r="MD21" s="2456"/>
      <c r="ME21" s="2456"/>
      <c r="MF21" s="2456"/>
      <c r="MG21" s="2456"/>
      <c r="MH21" s="2456"/>
      <c r="MI21" s="2456"/>
      <c r="MJ21" s="2456"/>
      <c r="MK21" s="2456"/>
      <c r="ML21" s="2456"/>
      <c r="MM21" s="2456"/>
      <c r="MN21" s="2456"/>
      <c r="MO21" s="2456"/>
      <c r="MP21" s="2456"/>
      <c r="MQ21" s="2456"/>
      <c r="MR21" s="2456"/>
      <c r="MS21" s="2456"/>
      <c r="MT21" s="2456"/>
      <c r="MU21" s="2456"/>
      <c r="MV21" s="2456"/>
      <c r="MW21" s="2456"/>
      <c r="MX21" s="2456"/>
      <c r="MY21" s="2456"/>
      <c r="MZ21" s="2456"/>
      <c r="NA21" s="2456"/>
      <c r="NB21" s="2456"/>
      <c r="NC21" s="2456"/>
      <c r="ND21" s="2456"/>
      <c r="NE21" s="2456"/>
      <c r="NF21" s="2456"/>
      <c r="NG21" s="2456"/>
      <c r="NH21" s="2456"/>
      <c r="NI21" s="2456"/>
      <c r="NJ21" s="2456"/>
      <c r="NK21" s="2456"/>
      <c r="NL21" s="2456"/>
      <c r="NM21" s="2456"/>
      <c r="NN21" s="2456"/>
      <c r="NO21" s="2456"/>
      <c r="NP21" s="2456"/>
      <c r="NQ21" s="2456"/>
      <c r="NR21" s="2456"/>
      <c r="NS21" s="2456"/>
      <c r="NT21" s="2456"/>
      <c r="NU21" s="2456"/>
      <c r="NV21" s="2456"/>
      <c r="NW21" s="2456"/>
      <c r="NX21" s="2456"/>
      <c r="NY21" s="2456"/>
      <c r="NZ21" s="2456"/>
      <c r="OA21" s="2456"/>
      <c r="OB21" s="2456"/>
      <c r="OC21" s="2456"/>
      <c r="OD21" s="2456"/>
      <c r="OE21" s="2456"/>
      <c r="OF21" s="2456"/>
      <c r="OG21" s="2456"/>
      <c r="OH21" s="2456"/>
      <c r="OI21" s="2456"/>
      <c r="OJ21" s="2456"/>
      <c r="OK21" s="2456"/>
      <c r="OL21" s="2456"/>
      <c r="OM21" s="2456"/>
      <c r="ON21" s="2456"/>
      <c r="OO21" s="2456"/>
      <c r="OP21" s="2456"/>
      <c r="OQ21" s="2456"/>
      <c r="OR21" s="2456"/>
      <c r="OS21" s="2456"/>
      <c r="OT21" s="2456"/>
      <c r="OU21" s="2456"/>
      <c r="OV21" s="2456"/>
      <c r="OW21" s="2456"/>
      <c r="OX21" s="2456"/>
      <c r="OY21" s="2456"/>
      <c r="OZ21" s="2456"/>
      <c r="PA21" s="2456"/>
    </row>
    <row r="22" spans="1:417" s="197" customFormat="1" ht="118.5" customHeight="1" x14ac:dyDescent="0.2">
      <c r="A22" s="3041"/>
      <c r="B22" s="3046"/>
      <c r="C22" s="3047"/>
      <c r="D22" s="2708"/>
      <c r="E22" s="3044"/>
      <c r="F22" s="3045"/>
      <c r="G22" s="2708"/>
      <c r="H22" s="3050"/>
      <c r="I22" s="3051"/>
      <c r="J22" s="500">
        <v>62</v>
      </c>
      <c r="K22" s="498" t="s">
        <v>395</v>
      </c>
      <c r="L22" s="2099" t="s">
        <v>19</v>
      </c>
      <c r="M22" s="2099">
        <v>2</v>
      </c>
      <c r="N22" s="2485">
        <v>2</v>
      </c>
      <c r="O22" s="3056"/>
      <c r="P22" s="2709"/>
      <c r="Q22" s="3056"/>
      <c r="R22" s="452">
        <f>30000000/5475836000*100</f>
        <v>0.54786155027287153</v>
      </c>
      <c r="S22" s="449">
        <v>30000000</v>
      </c>
      <c r="T22" s="3056"/>
      <c r="U22" s="3056"/>
      <c r="V22" s="2224" t="s">
        <v>395</v>
      </c>
      <c r="W22" s="4853">
        <v>30000000</v>
      </c>
      <c r="X22" s="440">
        <v>0</v>
      </c>
      <c r="Y22" s="440">
        <v>0</v>
      </c>
      <c r="Z22" s="2202">
        <v>20</v>
      </c>
      <c r="AA22" s="2200" t="s">
        <v>165</v>
      </c>
      <c r="AB22" s="3063"/>
      <c r="AC22" s="2932"/>
      <c r="AD22" s="3069"/>
      <c r="AE22" s="2932"/>
      <c r="AF22" s="3063"/>
      <c r="AG22" s="2932"/>
      <c r="AH22" s="3063"/>
      <c r="AI22" s="2932"/>
      <c r="AJ22" s="3063"/>
      <c r="AK22" s="2932"/>
      <c r="AL22" s="3063"/>
      <c r="AM22" s="2932"/>
      <c r="AN22" s="3063"/>
      <c r="AO22" s="2932"/>
      <c r="AP22" s="3063"/>
      <c r="AQ22" s="2932"/>
      <c r="AR22" s="3063"/>
      <c r="AS22" s="3066"/>
      <c r="AT22" s="3063"/>
      <c r="AU22" s="2932"/>
      <c r="AV22" s="3063"/>
      <c r="AW22" s="2932"/>
      <c r="AX22" s="3063"/>
      <c r="AY22" s="2932"/>
      <c r="AZ22" s="2378">
        <v>0</v>
      </c>
      <c r="BA22" s="435">
        <v>0</v>
      </c>
      <c r="BB22" s="435">
        <v>0</v>
      </c>
      <c r="BC22" s="431">
        <v>0</v>
      </c>
      <c r="BD22" s="3091"/>
      <c r="BE22" s="3091"/>
      <c r="BF22" s="2510">
        <v>42583</v>
      </c>
      <c r="BG22" s="2511">
        <v>42712</v>
      </c>
      <c r="BH22" s="2510">
        <v>42735</v>
      </c>
      <c r="BI22" s="2511">
        <v>42735</v>
      </c>
      <c r="BJ22" s="450" t="s">
        <v>380</v>
      </c>
      <c r="BK22" s="436"/>
      <c r="BL22" s="436"/>
      <c r="BM22" s="2456"/>
      <c r="BN22" s="2456"/>
      <c r="BO22" s="2456"/>
      <c r="BP22" s="2456"/>
      <c r="BQ22" s="2456"/>
      <c r="BR22" s="2456"/>
      <c r="BS22" s="2456"/>
      <c r="BT22" s="2456"/>
      <c r="BU22" s="2456"/>
      <c r="BV22" s="2456"/>
      <c r="BW22" s="2456"/>
      <c r="BX22" s="2456"/>
      <c r="BY22" s="2456"/>
      <c r="BZ22" s="2456"/>
      <c r="CA22" s="2456"/>
      <c r="CB22" s="2456"/>
      <c r="CC22" s="2456"/>
      <c r="CD22" s="2456"/>
      <c r="CE22" s="2456"/>
      <c r="CF22" s="2456"/>
      <c r="CG22" s="2456"/>
      <c r="CH22" s="2456"/>
      <c r="CI22" s="2456"/>
      <c r="CJ22" s="2456"/>
      <c r="CK22" s="2456"/>
      <c r="CL22" s="2456"/>
      <c r="CM22" s="2456"/>
      <c r="CN22" s="2456"/>
      <c r="CO22" s="2456"/>
      <c r="CP22" s="2456"/>
      <c r="CQ22" s="2456"/>
      <c r="CR22" s="2456"/>
      <c r="CS22" s="2456"/>
      <c r="CT22" s="2456"/>
      <c r="CU22" s="2456"/>
      <c r="CV22" s="2456"/>
      <c r="CW22" s="2456"/>
      <c r="CX22" s="2456"/>
      <c r="CY22" s="2456"/>
      <c r="CZ22" s="2456"/>
      <c r="DA22" s="2456"/>
      <c r="DB22" s="2456"/>
      <c r="DC22" s="2456"/>
      <c r="DD22" s="2456"/>
      <c r="DE22" s="2456"/>
      <c r="DF22" s="2456"/>
      <c r="DG22" s="2456"/>
      <c r="DH22" s="2456"/>
      <c r="DI22" s="2456"/>
      <c r="DJ22" s="2456"/>
      <c r="DK22" s="2456"/>
      <c r="DL22" s="2456"/>
      <c r="DM22" s="2456"/>
      <c r="DN22" s="2456"/>
      <c r="DO22" s="2456"/>
      <c r="DP22" s="2456"/>
      <c r="DQ22" s="2456"/>
      <c r="DR22" s="2456"/>
      <c r="DS22" s="2456"/>
      <c r="DT22" s="2456"/>
      <c r="DU22" s="2456"/>
      <c r="DV22" s="2456"/>
      <c r="DW22" s="2456"/>
      <c r="DX22" s="2456"/>
      <c r="DY22" s="2456"/>
      <c r="DZ22" s="2456"/>
      <c r="EA22" s="2456"/>
      <c r="EB22" s="2456"/>
      <c r="EC22" s="2456"/>
      <c r="ED22" s="2456"/>
      <c r="EE22" s="2456"/>
      <c r="EF22" s="2456"/>
      <c r="EG22" s="2456"/>
      <c r="EH22" s="2456"/>
      <c r="EI22" s="2456"/>
      <c r="EJ22" s="2456"/>
      <c r="EK22" s="2456"/>
      <c r="EL22" s="2456"/>
      <c r="EM22" s="2456"/>
      <c r="EN22" s="2456"/>
      <c r="EO22" s="2456"/>
      <c r="EP22" s="2456"/>
      <c r="EQ22" s="2456"/>
      <c r="ER22" s="2456"/>
      <c r="ES22" s="2456"/>
      <c r="ET22" s="2456"/>
      <c r="EU22" s="2456"/>
      <c r="EV22" s="2456"/>
      <c r="EW22" s="2456"/>
      <c r="EX22" s="2456"/>
      <c r="EY22" s="2456"/>
      <c r="EZ22" s="2456"/>
      <c r="FA22" s="2456"/>
      <c r="FB22" s="2456"/>
      <c r="FC22" s="2456"/>
      <c r="FD22" s="2456"/>
      <c r="FE22" s="2456"/>
      <c r="FF22" s="2456"/>
      <c r="FG22" s="2456"/>
      <c r="FH22" s="2456"/>
      <c r="FI22" s="2456"/>
      <c r="FJ22" s="2456"/>
      <c r="FK22" s="2456"/>
      <c r="FL22" s="2456"/>
      <c r="FM22" s="2456"/>
      <c r="FN22" s="2456"/>
      <c r="FO22" s="2456"/>
      <c r="FP22" s="2456"/>
      <c r="FQ22" s="2456"/>
      <c r="FR22" s="2456"/>
      <c r="FS22" s="2456"/>
      <c r="FT22" s="2456"/>
      <c r="FU22" s="2456"/>
      <c r="FV22" s="2456"/>
      <c r="FW22" s="2456"/>
      <c r="FX22" s="2456"/>
      <c r="FY22" s="2456"/>
      <c r="FZ22" s="2456"/>
      <c r="GA22" s="2456"/>
      <c r="GB22" s="2456"/>
      <c r="GC22" s="2456"/>
      <c r="GD22" s="2456"/>
      <c r="GE22" s="2456"/>
      <c r="GF22" s="2456"/>
      <c r="GG22" s="2456"/>
      <c r="GH22" s="2456"/>
      <c r="GI22" s="2456"/>
      <c r="GJ22" s="2456"/>
      <c r="GK22" s="2456"/>
      <c r="GL22" s="2456"/>
      <c r="GM22" s="2456"/>
      <c r="GN22" s="2456"/>
      <c r="GO22" s="2456"/>
      <c r="GP22" s="2456"/>
      <c r="GQ22" s="2456"/>
      <c r="GR22" s="2456"/>
      <c r="GS22" s="2456"/>
      <c r="GT22" s="2456"/>
      <c r="GU22" s="2456"/>
      <c r="GV22" s="2456"/>
      <c r="GW22" s="2456"/>
      <c r="GX22" s="2456"/>
      <c r="GY22" s="2456"/>
      <c r="GZ22" s="2456"/>
      <c r="HA22" s="2456"/>
      <c r="HB22" s="2456"/>
      <c r="HC22" s="2456"/>
      <c r="HD22" s="2456"/>
      <c r="HE22" s="2456"/>
      <c r="HF22" s="2456"/>
      <c r="HG22" s="2456"/>
      <c r="HH22" s="2456"/>
      <c r="HI22" s="2456"/>
      <c r="HJ22" s="2456"/>
      <c r="HK22" s="2456"/>
      <c r="HL22" s="2456"/>
      <c r="HM22" s="2456"/>
      <c r="HN22" s="2456"/>
      <c r="HO22" s="2456"/>
      <c r="HP22" s="2456"/>
      <c r="HQ22" s="2456"/>
      <c r="HR22" s="2456"/>
      <c r="HS22" s="2456"/>
      <c r="HT22" s="2456"/>
      <c r="HU22" s="2456"/>
      <c r="HV22" s="2456"/>
      <c r="HW22" s="2456"/>
      <c r="HX22" s="2456"/>
      <c r="HY22" s="2456"/>
      <c r="HZ22" s="2456"/>
      <c r="IA22" s="2456"/>
      <c r="IB22" s="2456"/>
      <c r="IC22" s="2456"/>
      <c r="ID22" s="2456"/>
      <c r="IE22" s="2456"/>
      <c r="IF22" s="2456"/>
      <c r="IG22" s="2456"/>
      <c r="IH22" s="2456"/>
      <c r="II22" s="2456"/>
      <c r="IJ22" s="2456"/>
      <c r="IK22" s="2456"/>
      <c r="IL22" s="2456"/>
      <c r="IM22" s="2456"/>
      <c r="IN22" s="2456"/>
      <c r="IO22" s="2456"/>
      <c r="IP22" s="2456"/>
      <c r="IQ22" s="2456"/>
      <c r="IR22" s="2456"/>
      <c r="IS22" s="2456"/>
      <c r="IT22" s="2456"/>
      <c r="IU22" s="2456"/>
      <c r="IV22" s="2456"/>
      <c r="IW22" s="2456"/>
      <c r="IX22" s="2456"/>
      <c r="IY22" s="2456"/>
      <c r="IZ22" s="2456"/>
      <c r="JA22" s="2456"/>
      <c r="JB22" s="2456"/>
      <c r="JC22" s="2456"/>
      <c r="JD22" s="2456"/>
      <c r="JE22" s="2456"/>
      <c r="JF22" s="2456"/>
      <c r="JG22" s="2456"/>
      <c r="JH22" s="2456"/>
      <c r="JI22" s="2456"/>
      <c r="JJ22" s="2456"/>
      <c r="JK22" s="2456"/>
      <c r="JL22" s="2456"/>
      <c r="JM22" s="2456"/>
      <c r="JN22" s="2456"/>
      <c r="JO22" s="2456"/>
      <c r="JP22" s="2456"/>
      <c r="JQ22" s="2456"/>
      <c r="JR22" s="2456"/>
      <c r="JS22" s="2456"/>
      <c r="JT22" s="2456"/>
      <c r="JU22" s="2456"/>
      <c r="JV22" s="2456"/>
      <c r="JW22" s="2456"/>
      <c r="JX22" s="2456"/>
      <c r="JY22" s="2456"/>
      <c r="JZ22" s="2456"/>
      <c r="KA22" s="2456"/>
      <c r="KB22" s="2456"/>
      <c r="KC22" s="2456"/>
      <c r="KD22" s="2456"/>
      <c r="KE22" s="2456"/>
      <c r="KF22" s="2456"/>
      <c r="KG22" s="2456"/>
      <c r="KH22" s="2456"/>
      <c r="KI22" s="2456"/>
      <c r="KJ22" s="2456"/>
      <c r="KK22" s="2456"/>
      <c r="KL22" s="2456"/>
      <c r="KM22" s="2456"/>
      <c r="KN22" s="2456"/>
      <c r="KO22" s="2456"/>
      <c r="KP22" s="2456"/>
      <c r="KQ22" s="2456"/>
      <c r="KR22" s="2456"/>
      <c r="KS22" s="2456"/>
      <c r="KT22" s="2456"/>
      <c r="KU22" s="2456"/>
      <c r="KV22" s="2456"/>
      <c r="KW22" s="2456"/>
      <c r="KX22" s="2456"/>
      <c r="KY22" s="2456"/>
      <c r="KZ22" s="2456"/>
      <c r="LA22" s="2456"/>
      <c r="LB22" s="2456"/>
      <c r="LC22" s="2456"/>
      <c r="LD22" s="2456"/>
      <c r="LE22" s="2456"/>
      <c r="LF22" s="2456"/>
      <c r="LG22" s="2456"/>
      <c r="LH22" s="2456"/>
      <c r="LI22" s="2456"/>
      <c r="LJ22" s="2456"/>
      <c r="LK22" s="2456"/>
      <c r="LL22" s="2456"/>
      <c r="LM22" s="2456"/>
      <c r="LN22" s="2456"/>
      <c r="LO22" s="2456"/>
      <c r="LP22" s="2456"/>
      <c r="LQ22" s="2456"/>
      <c r="LR22" s="2456"/>
      <c r="LS22" s="2456"/>
      <c r="LT22" s="2456"/>
      <c r="LU22" s="2456"/>
      <c r="LV22" s="2456"/>
      <c r="LW22" s="2456"/>
      <c r="LX22" s="2456"/>
      <c r="LY22" s="2456"/>
      <c r="LZ22" s="2456"/>
      <c r="MA22" s="2456"/>
      <c r="MB22" s="2456"/>
      <c r="MC22" s="2456"/>
      <c r="MD22" s="2456"/>
      <c r="ME22" s="2456"/>
      <c r="MF22" s="2456"/>
      <c r="MG22" s="2456"/>
      <c r="MH22" s="2456"/>
      <c r="MI22" s="2456"/>
      <c r="MJ22" s="2456"/>
      <c r="MK22" s="2456"/>
      <c r="ML22" s="2456"/>
      <c r="MM22" s="2456"/>
      <c r="MN22" s="2456"/>
      <c r="MO22" s="2456"/>
      <c r="MP22" s="2456"/>
      <c r="MQ22" s="2456"/>
      <c r="MR22" s="2456"/>
      <c r="MS22" s="2456"/>
      <c r="MT22" s="2456"/>
      <c r="MU22" s="2456"/>
      <c r="MV22" s="2456"/>
      <c r="MW22" s="2456"/>
      <c r="MX22" s="2456"/>
      <c r="MY22" s="2456"/>
      <c r="MZ22" s="2456"/>
      <c r="NA22" s="2456"/>
      <c r="NB22" s="2456"/>
      <c r="NC22" s="2456"/>
      <c r="ND22" s="2456"/>
      <c r="NE22" s="2456"/>
      <c r="NF22" s="2456"/>
      <c r="NG22" s="2456"/>
      <c r="NH22" s="2456"/>
      <c r="NI22" s="2456"/>
      <c r="NJ22" s="2456"/>
      <c r="NK22" s="2456"/>
      <c r="NL22" s="2456"/>
      <c r="NM22" s="2456"/>
      <c r="NN22" s="2456"/>
      <c r="NO22" s="2456"/>
      <c r="NP22" s="2456"/>
      <c r="NQ22" s="2456"/>
      <c r="NR22" s="2456"/>
      <c r="NS22" s="2456"/>
      <c r="NT22" s="2456"/>
      <c r="NU22" s="2456"/>
      <c r="NV22" s="2456"/>
      <c r="NW22" s="2456"/>
      <c r="NX22" s="2456"/>
      <c r="NY22" s="2456"/>
      <c r="NZ22" s="2456"/>
      <c r="OA22" s="2456"/>
      <c r="OB22" s="2456"/>
      <c r="OC22" s="2456"/>
      <c r="OD22" s="2456"/>
      <c r="OE22" s="2456"/>
      <c r="OF22" s="2456"/>
      <c r="OG22" s="2456"/>
      <c r="OH22" s="2456"/>
      <c r="OI22" s="2456"/>
      <c r="OJ22" s="2456"/>
      <c r="OK22" s="2456"/>
      <c r="OL22" s="2456"/>
      <c r="OM22" s="2456"/>
      <c r="ON22" s="2456"/>
      <c r="OO22" s="2456"/>
      <c r="OP22" s="2456"/>
      <c r="OQ22" s="2456"/>
      <c r="OR22" s="2456"/>
      <c r="OS22" s="2456"/>
      <c r="OT22" s="2456"/>
      <c r="OU22" s="2456"/>
      <c r="OV22" s="2456"/>
      <c r="OW22" s="2456"/>
      <c r="OX22" s="2456"/>
      <c r="OY22" s="2456"/>
      <c r="OZ22" s="2456"/>
      <c r="PA22" s="2456"/>
    </row>
    <row r="23" spans="1:417" s="9" customFormat="1" ht="29.25" customHeight="1" x14ac:dyDescent="0.2">
      <c r="A23" s="113" t="s">
        <v>396</v>
      </c>
      <c r="B23" s="60"/>
      <c r="C23" s="60" t="s">
        <v>397</v>
      </c>
      <c r="D23" s="60"/>
      <c r="E23" s="60"/>
      <c r="F23" s="60"/>
      <c r="G23" s="60"/>
      <c r="H23" s="60"/>
      <c r="I23" s="60"/>
      <c r="J23" s="60"/>
      <c r="K23" s="61"/>
      <c r="L23" s="60"/>
      <c r="M23" s="60"/>
      <c r="N23" s="156"/>
      <c r="O23" s="60"/>
      <c r="P23" s="60"/>
      <c r="Q23" s="60"/>
      <c r="R23" s="60"/>
      <c r="S23" s="60"/>
      <c r="T23" s="60"/>
      <c r="U23" s="60"/>
      <c r="V23" s="60"/>
      <c r="W23" s="60"/>
      <c r="X23" s="453"/>
      <c r="Y23" s="156"/>
      <c r="Z23" s="60"/>
      <c r="AA23" s="60"/>
      <c r="AB23" s="60"/>
      <c r="AC23" s="156"/>
      <c r="AD23" s="60"/>
      <c r="AE23" s="156"/>
      <c r="AF23" s="60"/>
      <c r="AG23" s="156"/>
      <c r="AH23" s="60"/>
      <c r="AI23" s="156"/>
      <c r="AJ23" s="60"/>
      <c r="AK23" s="156"/>
      <c r="AL23" s="60"/>
      <c r="AM23" s="156"/>
      <c r="AN23" s="60"/>
      <c r="AO23" s="156"/>
      <c r="AP23" s="60"/>
      <c r="AQ23" s="156"/>
      <c r="AR23" s="60"/>
      <c r="AS23" s="156"/>
      <c r="AT23" s="60"/>
      <c r="AU23" s="156"/>
      <c r="AV23" s="60"/>
      <c r="AW23" s="156"/>
      <c r="AX23" s="60"/>
      <c r="AY23" s="156"/>
      <c r="AZ23" s="156"/>
      <c r="BA23" s="60"/>
      <c r="BB23" s="60"/>
      <c r="BC23" s="60"/>
      <c r="BD23" s="60"/>
      <c r="BE23" s="60"/>
      <c r="BF23" s="60"/>
      <c r="BG23" s="156"/>
      <c r="BH23" s="60"/>
      <c r="BI23" s="156"/>
      <c r="BJ23" s="65"/>
    </row>
    <row r="24" spans="1:417" s="9" customFormat="1" ht="29.25" customHeight="1" x14ac:dyDescent="0.2">
      <c r="A24" s="3096"/>
      <c r="B24" s="454"/>
      <c r="C24" s="455"/>
      <c r="D24" s="456" t="s">
        <v>398</v>
      </c>
      <c r="E24" s="3093" t="s">
        <v>399</v>
      </c>
      <c r="F24" s="3093"/>
      <c r="G24" s="3057"/>
      <c r="H24" s="3057"/>
      <c r="I24" s="3057"/>
      <c r="J24" s="3057"/>
      <c r="K24" s="3057"/>
      <c r="L24" s="3057"/>
      <c r="M24" s="47"/>
      <c r="N24" s="157"/>
      <c r="O24" s="47"/>
      <c r="P24" s="47"/>
      <c r="Q24" s="47"/>
      <c r="R24" s="47"/>
      <c r="S24" s="47"/>
      <c r="T24" s="47"/>
      <c r="U24" s="47"/>
      <c r="V24" s="47"/>
      <c r="W24" s="47"/>
      <c r="X24" s="157"/>
      <c r="Y24" s="157"/>
      <c r="Z24" s="47"/>
      <c r="AA24" s="47"/>
      <c r="AB24" s="47"/>
      <c r="AC24" s="157"/>
      <c r="AD24" s="47"/>
      <c r="AE24" s="157"/>
      <c r="AF24" s="47"/>
      <c r="AG24" s="157"/>
      <c r="AH24" s="47"/>
      <c r="AI24" s="157"/>
      <c r="AJ24" s="47"/>
      <c r="AK24" s="157"/>
      <c r="AL24" s="47"/>
      <c r="AM24" s="157"/>
      <c r="AN24" s="47"/>
      <c r="AO24" s="157"/>
      <c r="AP24" s="47"/>
      <c r="AQ24" s="157"/>
      <c r="AR24" s="47"/>
      <c r="AS24" s="157"/>
      <c r="AT24" s="47"/>
      <c r="AU24" s="157"/>
      <c r="AV24" s="47"/>
      <c r="AW24" s="157"/>
      <c r="AX24" s="47"/>
      <c r="AY24" s="157"/>
      <c r="AZ24" s="157"/>
      <c r="BA24" s="47"/>
      <c r="BB24" s="47"/>
      <c r="BC24" s="47"/>
      <c r="BD24" s="47"/>
      <c r="BE24" s="47"/>
      <c r="BF24" s="47"/>
      <c r="BG24" s="157"/>
      <c r="BH24" s="47"/>
      <c r="BI24" s="157"/>
      <c r="BJ24" s="103"/>
    </row>
    <row r="25" spans="1:417" s="9" customFormat="1" ht="29.25" customHeight="1" x14ac:dyDescent="0.2">
      <c r="A25" s="3096"/>
      <c r="B25" s="454"/>
      <c r="C25" s="455"/>
      <c r="D25" s="2207"/>
      <c r="E25" s="2208"/>
      <c r="F25" s="2208"/>
      <c r="G25" s="2214" t="s">
        <v>337</v>
      </c>
      <c r="H25" s="3094" t="s">
        <v>400</v>
      </c>
      <c r="I25" s="3094"/>
      <c r="J25" s="3095"/>
      <c r="K25" s="3095"/>
      <c r="L25" s="3095"/>
      <c r="M25" s="66"/>
      <c r="N25" s="158"/>
      <c r="O25" s="66"/>
      <c r="P25" s="66"/>
      <c r="Q25" s="66"/>
      <c r="R25" s="66"/>
      <c r="S25" s="66"/>
      <c r="T25" s="66"/>
      <c r="U25" s="66"/>
      <c r="V25" s="66"/>
      <c r="W25" s="66"/>
      <c r="X25" s="158"/>
      <c r="Y25" s="158"/>
      <c r="Z25" s="66"/>
      <c r="AA25" s="66"/>
      <c r="AB25" s="66"/>
      <c r="AC25" s="158"/>
      <c r="AD25" s="66"/>
      <c r="AE25" s="158"/>
      <c r="AF25" s="66"/>
      <c r="AG25" s="158"/>
      <c r="AH25" s="66"/>
      <c r="AI25" s="158"/>
      <c r="AJ25" s="66"/>
      <c r="AK25" s="158"/>
      <c r="AL25" s="66"/>
      <c r="AM25" s="158"/>
      <c r="AN25" s="66"/>
      <c r="AO25" s="158"/>
      <c r="AP25" s="66"/>
      <c r="AQ25" s="158"/>
      <c r="AR25" s="66"/>
      <c r="AS25" s="158"/>
      <c r="AT25" s="66"/>
      <c r="AU25" s="158"/>
      <c r="AV25" s="66"/>
      <c r="AW25" s="158"/>
      <c r="AX25" s="66"/>
      <c r="AY25" s="158"/>
      <c r="AZ25" s="66"/>
      <c r="BA25" s="66"/>
      <c r="BB25" s="66"/>
      <c r="BC25" s="66"/>
      <c r="BD25" s="66"/>
      <c r="BE25" s="66"/>
      <c r="BF25" s="66"/>
      <c r="BG25" s="158"/>
      <c r="BH25" s="66"/>
      <c r="BI25" s="158"/>
      <c r="BJ25" s="114"/>
    </row>
    <row r="26" spans="1:417" ht="90.75" customHeight="1" x14ac:dyDescent="0.2">
      <c r="A26" s="3096"/>
      <c r="B26" s="454"/>
      <c r="C26" s="455"/>
      <c r="D26" s="2207"/>
      <c r="E26" s="3088"/>
      <c r="F26" s="3088"/>
      <c r="G26" s="2106"/>
      <c r="H26" s="3089"/>
      <c r="I26" s="3089"/>
      <c r="J26" s="2135">
        <v>9</v>
      </c>
      <c r="K26" s="2129" t="s">
        <v>401</v>
      </c>
      <c r="L26" s="2099" t="s">
        <v>402</v>
      </c>
      <c r="M26" s="2506">
        <v>5</v>
      </c>
      <c r="N26" s="2171">
        <v>0</v>
      </c>
      <c r="O26" s="2521" t="s">
        <v>403</v>
      </c>
      <c r="P26" s="2499">
        <v>22</v>
      </c>
      <c r="Q26" s="2386" t="s">
        <v>404</v>
      </c>
      <c r="R26" s="2222">
        <v>100</v>
      </c>
      <c r="S26" s="2290">
        <v>315982283</v>
      </c>
      <c r="T26" s="2224" t="s">
        <v>405</v>
      </c>
      <c r="U26" s="2224" t="s">
        <v>405</v>
      </c>
      <c r="V26" s="2200" t="s">
        <v>406</v>
      </c>
      <c r="W26" s="4854">
        <v>315982283</v>
      </c>
      <c r="X26" s="4855">
        <v>0</v>
      </c>
      <c r="Y26" s="4855">
        <v>0</v>
      </c>
      <c r="Z26" s="2202">
        <v>90</v>
      </c>
      <c r="AA26" s="2200" t="s">
        <v>407</v>
      </c>
      <c r="AB26" s="457">
        <v>64149</v>
      </c>
      <c r="AC26" s="457"/>
      <c r="AD26" s="457" t="s">
        <v>98</v>
      </c>
      <c r="AE26" s="457"/>
      <c r="AF26" s="457">
        <v>27477</v>
      </c>
      <c r="AG26" s="457"/>
      <c r="AH26" s="457">
        <v>86846</v>
      </c>
      <c r="AI26" s="457"/>
      <c r="AJ26" s="457">
        <v>236429</v>
      </c>
      <c r="AK26" s="457"/>
      <c r="AL26" s="457">
        <v>81398</v>
      </c>
      <c r="AM26" s="457"/>
      <c r="AN26" s="457">
        <v>1817</v>
      </c>
      <c r="AO26" s="457"/>
      <c r="AP26" s="457">
        <v>13208</v>
      </c>
      <c r="AQ26" s="457"/>
      <c r="AR26" s="457">
        <v>31</v>
      </c>
      <c r="AS26" s="457"/>
      <c r="AT26" s="457">
        <v>520</v>
      </c>
      <c r="AU26" s="457"/>
      <c r="AV26" s="457">
        <v>16897</v>
      </c>
      <c r="AW26" s="457"/>
      <c r="AX26" s="458">
        <v>0.09</v>
      </c>
      <c r="AY26" s="459"/>
      <c r="AZ26" s="731">
        <v>0</v>
      </c>
      <c r="BA26" s="2203">
        <v>0</v>
      </c>
      <c r="BB26" s="2203">
        <v>0</v>
      </c>
      <c r="BC26" s="461">
        <v>0</v>
      </c>
      <c r="BD26" s="2200" t="s">
        <v>407</v>
      </c>
      <c r="BE26" s="460" t="s">
        <v>408</v>
      </c>
      <c r="BF26" s="462">
        <v>42583</v>
      </c>
      <c r="BG26" s="2507">
        <v>42735</v>
      </c>
      <c r="BH26" s="462">
        <v>42735</v>
      </c>
      <c r="BI26" s="2507"/>
      <c r="BJ26" s="2204" t="s">
        <v>380</v>
      </c>
    </row>
    <row r="27" spans="1:417" ht="147.75" customHeight="1" x14ac:dyDescent="0.2">
      <c r="A27" s="3096"/>
      <c r="B27" s="454"/>
      <c r="C27" s="455"/>
      <c r="D27" s="2207"/>
      <c r="E27" s="3088"/>
      <c r="F27" s="3088"/>
      <c r="G27" s="2106"/>
      <c r="H27" s="3089"/>
      <c r="I27" s="3089"/>
      <c r="J27" s="2135">
        <v>9</v>
      </c>
      <c r="K27" s="2129" t="s">
        <v>401</v>
      </c>
      <c r="L27" s="2099" t="s">
        <v>409</v>
      </c>
      <c r="M27" s="2202">
        <v>5</v>
      </c>
      <c r="N27" s="2171">
        <v>4</v>
      </c>
      <c r="O27" s="2521" t="s">
        <v>410</v>
      </c>
      <c r="P27" s="2499">
        <v>23</v>
      </c>
      <c r="Q27" s="2386" t="s">
        <v>411</v>
      </c>
      <c r="R27" s="2222">
        <v>100</v>
      </c>
      <c r="S27" s="2499">
        <v>438933783.48000002</v>
      </c>
      <c r="T27" s="2224" t="s">
        <v>412</v>
      </c>
      <c r="U27" s="2200" t="s">
        <v>413</v>
      </c>
      <c r="V27" s="2200" t="s">
        <v>414</v>
      </c>
      <c r="W27" s="4854">
        <v>438933783.48000002</v>
      </c>
      <c r="X27" s="4855">
        <v>438933783</v>
      </c>
      <c r="Y27" s="4855">
        <v>438933783</v>
      </c>
      <c r="Z27" s="2202">
        <v>27</v>
      </c>
      <c r="AA27" s="2200" t="s">
        <v>407</v>
      </c>
      <c r="AB27" s="457">
        <v>64149</v>
      </c>
      <c r="AC27" s="457"/>
      <c r="AD27" s="457" t="s">
        <v>98</v>
      </c>
      <c r="AE27" s="457"/>
      <c r="AF27" s="457">
        <v>27477</v>
      </c>
      <c r="AG27" s="457"/>
      <c r="AH27" s="457">
        <v>86846</v>
      </c>
      <c r="AI27" s="457"/>
      <c r="AJ27" s="457">
        <v>236429</v>
      </c>
      <c r="AK27" s="457"/>
      <c r="AL27" s="457">
        <v>81398</v>
      </c>
      <c r="AM27" s="457"/>
      <c r="AN27" s="457">
        <v>1817</v>
      </c>
      <c r="AO27" s="457"/>
      <c r="AP27" s="457">
        <v>13208</v>
      </c>
      <c r="AQ27" s="457"/>
      <c r="AR27" s="457">
        <v>31</v>
      </c>
      <c r="AS27" s="457"/>
      <c r="AT27" s="457">
        <v>520</v>
      </c>
      <c r="AU27" s="457"/>
      <c r="AV27" s="457">
        <v>16897</v>
      </c>
      <c r="AW27" s="457"/>
      <c r="AX27" s="458">
        <v>0.09</v>
      </c>
      <c r="AY27" s="459"/>
      <c r="AZ27" s="4859" t="s">
        <v>415</v>
      </c>
      <c r="BA27" s="2203">
        <v>438933783.48000002</v>
      </c>
      <c r="BB27" s="2203">
        <v>438933783.48000002</v>
      </c>
      <c r="BC27" s="461">
        <f>+X27/W27</f>
        <v>0.99999999890644098</v>
      </c>
      <c r="BD27" s="2200" t="s">
        <v>407</v>
      </c>
      <c r="BE27" s="460" t="s">
        <v>408</v>
      </c>
      <c r="BF27" s="462">
        <v>42583</v>
      </c>
      <c r="BG27" s="2507">
        <v>42735</v>
      </c>
      <c r="BH27" s="462">
        <v>42735</v>
      </c>
      <c r="BI27" s="2507"/>
      <c r="BJ27" s="2204" t="s">
        <v>380</v>
      </c>
    </row>
    <row r="28" spans="1:417" ht="150" customHeight="1" x14ac:dyDescent="0.2">
      <c r="A28" s="3096"/>
      <c r="B28" s="454"/>
      <c r="C28" s="455"/>
      <c r="D28" s="2207"/>
      <c r="E28" s="3088"/>
      <c r="F28" s="3088"/>
      <c r="G28" s="2106"/>
      <c r="H28" s="3089"/>
      <c r="I28" s="3089"/>
      <c r="J28" s="2135">
        <v>10</v>
      </c>
      <c r="K28" s="2129" t="s">
        <v>416</v>
      </c>
      <c r="L28" s="2099" t="s">
        <v>417</v>
      </c>
      <c r="M28" s="2202">
        <v>5</v>
      </c>
      <c r="N28" s="2171">
        <v>5</v>
      </c>
      <c r="O28" s="2521" t="s">
        <v>418</v>
      </c>
      <c r="P28" s="2499">
        <v>24</v>
      </c>
      <c r="Q28" s="2386" t="s">
        <v>419</v>
      </c>
      <c r="R28" s="2222">
        <v>100</v>
      </c>
      <c r="S28" s="2499">
        <v>50286511.960000001</v>
      </c>
      <c r="T28" s="2224" t="s">
        <v>420</v>
      </c>
      <c r="U28" s="2224" t="s">
        <v>421</v>
      </c>
      <c r="V28" s="2200" t="s">
        <v>422</v>
      </c>
      <c r="W28" s="4854">
        <v>50286511.960000001</v>
      </c>
      <c r="X28" s="4856">
        <v>50286511</v>
      </c>
      <c r="Y28" s="4856">
        <v>50286511</v>
      </c>
      <c r="Z28" s="2202">
        <v>27</v>
      </c>
      <c r="AA28" s="2200" t="s">
        <v>407</v>
      </c>
      <c r="AB28" s="457">
        <v>64149</v>
      </c>
      <c r="AC28" s="457"/>
      <c r="AD28" s="457" t="s">
        <v>98</v>
      </c>
      <c r="AE28" s="457"/>
      <c r="AF28" s="457">
        <v>27477</v>
      </c>
      <c r="AG28" s="457"/>
      <c r="AH28" s="457">
        <v>86846</v>
      </c>
      <c r="AI28" s="457"/>
      <c r="AJ28" s="457">
        <v>236429</v>
      </c>
      <c r="AK28" s="457"/>
      <c r="AL28" s="457">
        <v>81398</v>
      </c>
      <c r="AM28" s="457"/>
      <c r="AN28" s="457">
        <v>1817</v>
      </c>
      <c r="AO28" s="457"/>
      <c r="AP28" s="457">
        <v>13208</v>
      </c>
      <c r="AQ28" s="457"/>
      <c r="AR28" s="457">
        <v>31</v>
      </c>
      <c r="AS28" s="457"/>
      <c r="AT28" s="457">
        <v>520</v>
      </c>
      <c r="AU28" s="457"/>
      <c r="AV28" s="457">
        <v>16897</v>
      </c>
      <c r="AW28" s="457"/>
      <c r="AX28" s="458">
        <v>0.09</v>
      </c>
      <c r="AY28" s="459"/>
      <c r="AZ28" s="4860" t="s">
        <v>423</v>
      </c>
      <c r="BA28" s="2521">
        <v>50286511.960000001</v>
      </c>
      <c r="BB28" s="2521">
        <v>50286511.960000001</v>
      </c>
      <c r="BC28" s="461">
        <f>+X28/W28</f>
        <v>0.99999998090939368</v>
      </c>
      <c r="BD28" s="2200" t="s">
        <v>407</v>
      </c>
      <c r="BE28" s="460" t="s">
        <v>408</v>
      </c>
      <c r="BF28" s="462">
        <v>42583</v>
      </c>
      <c r="BG28" s="2507">
        <v>42735</v>
      </c>
      <c r="BH28" s="462">
        <v>42735</v>
      </c>
      <c r="BI28" s="2507"/>
      <c r="BJ28" s="2204" t="s">
        <v>380</v>
      </c>
    </row>
    <row r="29" spans="1:417" ht="290.25" customHeight="1" x14ac:dyDescent="0.2">
      <c r="A29" s="3096"/>
      <c r="B29" s="454"/>
      <c r="C29" s="455"/>
      <c r="D29" s="2207"/>
      <c r="E29" s="3088"/>
      <c r="F29" s="3088"/>
      <c r="G29" s="2106"/>
      <c r="H29" s="3089"/>
      <c r="I29" s="3089"/>
      <c r="J29" s="2135">
        <v>11</v>
      </c>
      <c r="K29" s="2129" t="s">
        <v>424</v>
      </c>
      <c r="L29" s="2107" t="s">
        <v>425</v>
      </c>
      <c r="M29" s="2202">
        <v>1</v>
      </c>
      <c r="N29" s="2171">
        <v>0</v>
      </c>
      <c r="O29" s="2521" t="s">
        <v>426</v>
      </c>
      <c r="P29" s="2499">
        <v>25</v>
      </c>
      <c r="Q29" s="2386" t="s">
        <v>427</v>
      </c>
      <c r="R29" s="2222">
        <v>100</v>
      </c>
      <c r="S29" s="2499">
        <v>330943049.29000002</v>
      </c>
      <c r="T29" s="2224" t="s">
        <v>428</v>
      </c>
      <c r="U29" s="2224" t="s">
        <v>429</v>
      </c>
      <c r="V29" s="2200" t="s">
        <v>430</v>
      </c>
      <c r="W29" s="4854">
        <v>330943049.29000002</v>
      </c>
      <c r="X29" s="4855">
        <v>330943049</v>
      </c>
      <c r="Y29" s="4855">
        <v>330943049</v>
      </c>
      <c r="Z29" s="2202">
        <v>27</v>
      </c>
      <c r="AA29" s="2200" t="s">
        <v>407</v>
      </c>
      <c r="AB29" s="457">
        <v>64149</v>
      </c>
      <c r="AC29" s="457"/>
      <c r="AD29" s="457" t="s">
        <v>98</v>
      </c>
      <c r="AE29" s="457"/>
      <c r="AF29" s="457">
        <v>27477</v>
      </c>
      <c r="AG29" s="457"/>
      <c r="AH29" s="457">
        <v>86846</v>
      </c>
      <c r="AI29" s="457"/>
      <c r="AJ29" s="457">
        <v>236429</v>
      </c>
      <c r="AK29" s="457"/>
      <c r="AL29" s="457">
        <v>81398</v>
      </c>
      <c r="AM29" s="457"/>
      <c r="AN29" s="457">
        <v>1817</v>
      </c>
      <c r="AO29" s="457"/>
      <c r="AP29" s="457">
        <v>13208</v>
      </c>
      <c r="AQ29" s="457"/>
      <c r="AR29" s="457">
        <v>31</v>
      </c>
      <c r="AS29" s="457"/>
      <c r="AT29" s="457">
        <v>520</v>
      </c>
      <c r="AU29" s="457"/>
      <c r="AV29" s="457">
        <v>16897</v>
      </c>
      <c r="AW29" s="457"/>
      <c r="AX29" s="458">
        <v>0.09</v>
      </c>
      <c r="AY29" s="459"/>
      <c r="AZ29" s="4859" t="s">
        <v>415</v>
      </c>
      <c r="BA29" s="2203">
        <v>330943049.29000002</v>
      </c>
      <c r="BB29" s="2203">
        <v>330943049.29000002</v>
      </c>
      <c r="BC29" s="461">
        <f>+X29/W29</f>
        <v>0.99999999912371629</v>
      </c>
      <c r="BD29" s="2200" t="s">
        <v>407</v>
      </c>
      <c r="BE29" s="460" t="s">
        <v>408</v>
      </c>
      <c r="BF29" s="462">
        <v>42583</v>
      </c>
      <c r="BG29" s="2507">
        <v>42735</v>
      </c>
      <c r="BH29" s="462">
        <v>42735</v>
      </c>
      <c r="BI29" s="2507"/>
      <c r="BJ29" s="2204" t="s">
        <v>380</v>
      </c>
    </row>
    <row r="30" spans="1:417" ht="46.5" customHeight="1" x14ac:dyDescent="0.2">
      <c r="A30" s="3096"/>
      <c r="B30" s="454"/>
      <c r="C30" s="455"/>
      <c r="D30" s="3045"/>
      <c r="E30" s="3088"/>
      <c r="F30" s="3088"/>
      <c r="G30" s="2708"/>
      <c r="H30" s="3089"/>
      <c r="I30" s="3089"/>
      <c r="J30" s="2624">
        <v>12</v>
      </c>
      <c r="K30" s="2605" t="s">
        <v>431</v>
      </c>
      <c r="L30" s="2600" t="s">
        <v>432</v>
      </c>
      <c r="M30" s="3090">
        <v>3</v>
      </c>
      <c r="N30" s="2826">
        <v>1</v>
      </c>
      <c r="O30" s="3102" t="s">
        <v>433</v>
      </c>
      <c r="P30" s="3104">
        <v>26</v>
      </c>
      <c r="Q30" s="3054" t="s">
        <v>434</v>
      </c>
      <c r="R30" s="2707">
        <v>100</v>
      </c>
      <c r="S30" s="3102">
        <v>1051663049.29</v>
      </c>
      <c r="T30" s="3054" t="s">
        <v>435</v>
      </c>
      <c r="U30" s="3054" t="s">
        <v>436</v>
      </c>
      <c r="V30" s="2200" t="s">
        <v>437</v>
      </c>
      <c r="W30" s="4854">
        <v>720720000</v>
      </c>
      <c r="X30" s="4856">
        <v>720720000</v>
      </c>
      <c r="Y30" s="4856">
        <v>720720000</v>
      </c>
      <c r="Z30" s="3090">
        <v>27</v>
      </c>
      <c r="AA30" s="3054" t="s">
        <v>407</v>
      </c>
      <c r="AB30" s="3090">
        <v>64149</v>
      </c>
      <c r="AC30" s="3090"/>
      <c r="AD30" s="3090" t="s">
        <v>98</v>
      </c>
      <c r="AE30" s="3090"/>
      <c r="AF30" s="3090">
        <v>27477</v>
      </c>
      <c r="AG30" s="3090"/>
      <c r="AH30" s="3090">
        <v>86846</v>
      </c>
      <c r="AI30" s="3090"/>
      <c r="AJ30" s="3090">
        <v>236429</v>
      </c>
      <c r="AK30" s="3090"/>
      <c r="AL30" s="3090">
        <v>81398</v>
      </c>
      <c r="AM30" s="3090"/>
      <c r="AN30" s="3090">
        <v>1817</v>
      </c>
      <c r="AO30" s="3090"/>
      <c r="AP30" s="3090">
        <v>13208</v>
      </c>
      <c r="AQ30" s="3090"/>
      <c r="AR30" s="3090">
        <v>31</v>
      </c>
      <c r="AS30" s="3090"/>
      <c r="AT30" s="3090">
        <v>520</v>
      </c>
      <c r="AU30" s="3090"/>
      <c r="AV30" s="3090">
        <v>16897</v>
      </c>
      <c r="AW30" s="3090"/>
      <c r="AX30" s="3098">
        <v>0.09</v>
      </c>
      <c r="AY30" s="3100"/>
      <c r="AZ30" s="4861" t="str">
        <f>+V30</f>
        <v xml:space="preserve">Grupo gestor del PAP-PDA </v>
      </c>
      <c r="BA30" s="2521">
        <v>720720000</v>
      </c>
      <c r="BB30" s="2521">
        <v>720720000</v>
      </c>
      <c r="BC30" s="3108">
        <v>1</v>
      </c>
      <c r="BD30" s="3054" t="s">
        <v>407</v>
      </c>
      <c r="BE30" s="460" t="s">
        <v>408</v>
      </c>
      <c r="BF30" s="3080">
        <v>42583</v>
      </c>
      <c r="BG30" s="2507">
        <v>42735</v>
      </c>
      <c r="BH30" s="3080">
        <v>42735</v>
      </c>
      <c r="BI30" s="2498"/>
      <c r="BJ30" s="3083" t="s">
        <v>380</v>
      </c>
    </row>
    <row r="31" spans="1:417" ht="118.5" customHeight="1" x14ac:dyDescent="0.2">
      <c r="A31" s="3096"/>
      <c r="B31" s="454"/>
      <c r="C31" s="455"/>
      <c r="D31" s="3045"/>
      <c r="E31" s="3088"/>
      <c r="F31" s="3088"/>
      <c r="G31" s="2708"/>
      <c r="H31" s="3089"/>
      <c r="I31" s="3089"/>
      <c r="J31" s="2624"/>
      <c r="K31" s="2988"/>
      <c r="L31" s="2636"/>
      <c r="M31" s="3091"/>
      <c r="N31" s="2862"/>
      <c r="O31" s="3103"/>
      <c r="P31" s="3105"/>
      <c r="Q31" s="3056"/>
      <c r="R31" s="2709"/>
      <c r="S31" s="3103"/>
      <c r="T31" s="3056"/>
      <c r="U31" s="3056"/>
      <c r="V31" s="2200" t="s">
        <v>438</v>
      </c>
      <c r="W31" s="4854">
        <v>330943049</v>
      </c>
      <c r="X31" s="4855">
        <v>330943049</v>
      </c>
      <c r="Y31" s="4855">
        <v>330943049</v>
      </c>
      <c r="Z31" s="3091"/>
      <c r="AA31" s="3056"/>
      <c r="AB31" s="3091"/>
      <c r="AC31" s="3091"/>
      <c r="AD31" s="3091"/>
      <c r="AE31" s="3091"/>
      <c r="AF31" s="3091"/>
      <c r="AG31" s="3091"/>
      <c r="AH31" s="3091"/>
      <c r="AI31" s="3091"/>
      <c r="AJ31" s="3091"/>
      <c r="AK31" s="3091"/>
      <c r="AL31" s="3091"/>
      <c r="AM31" s="3091"/>
      <c r="AN31" s="3091"/>
      <c r="AO31" s="3091"/>
      <c r="AP31" s="3091"/>
      <c r="AQ31" s="3091"/>
      <c r="AR31" s="3091"/>
      <c r="AS31" s="3091"/>
      <c r="AT31" s="3091"/>
      <c r="AU31" s="3091"/>
      <c r="AV31" s="3091"/>
      <c r="AW31" s="3091"/>
      <c r="AX31" s="3099"/>
      <c r="AY31" s="3101"/>
      <c r="AZ31" s="4862" t="str">
        <f>+V31</f>
        <v xml:space="preserve">Promover esquemas empresariales sostenibles en el corto, mediano y largo plazo. </v>
      </c>
      <c r="BA31" s="2203">
        <v>330943049</v>
      </c>
      <c r="BB31" s="2203">
        <v>330943049</v>
      </c>
      <c r="BC31" s="3109"/>
      <c r="BD31" s="3056"/>
      <c r="BE31" s="460" t="s">
        <v>408</v>
      </c>
      <c r="BF31" s="3082"/>
      <c r="BG31" s="2507">
        <v>42735</v>
      </c>
      <c r="BH31" s="3082"/>
      <c r="BI31" s="2507"/>
      <c r="BJ31" s="3085"/>
    </row>
    <row r="32" spans="1:417" ht="212.25" customHeight="1" x14ac:dyDescent="0.2">
      <c r="A32" s="3097"/>
      <c r="B32" s="463"/>
      <c r="C32" s="464"/>
      <c r="D32" s="2223"/>
      <c r="E32" s="3106"/>
      <c r="F32" s="3106"/>
      <c r="G32" s="2116"/>
      <c r="H32" s="3107"/>
      <c r="I32" s="3107"/>
      <c r="J32" s="2135">
        <v>13</v>
      </c>
      <c r="K32" s="2129" t="s">
        <v>439</v>
      </c>
      <c r="L32" s="2099" t="s">
        <v>440</v>
      </c>
      <c r="M32" s="2506">
        <v>1</v>
      </c>
      <c r="N32" s="2171">
        <v>0</v>
      </c>
      <c r="O32" s="2521" t="s">
        <v>441</v>
      </c>
      <c r="P32" s="2499">
        <v>27</v>
      </c>
      <c r="Q32" s="2386" t="s">
        <v>442</v>
      </c>
      <c r="R32" s="2222">
        <v>100</v>
      </c>
      <c r="S32" s="2521">
        <v>270132263.98000002</v>
      </c>
      <c r="T32" s="2224" t="s">
        <v>443</v>
      </c>
      <c r="U32" s="2224" t="s">
        <v>444</v>
      </c>
      <c r="V32" s="2200" t="s">
        <v>445</v>
      </c>
      <c r="W32" s="4854">
        <v>270132263.98000002</v>
      </c>
      <c r="X32" s="4855">
        <v>270132263</v>
      </c>
      <c r="Y32" s="4855">
        <v>270132263</v>
      </c>
      <c r="Z32" s="2202">
        <v>27</v>
      </c>
      <c r="AA32" s="2200" t="s">
        <v>407</v>
      </c>
      <c r="AB32" s="457">
        <v>64149</v>
      </c>
      <c r="AC32" s="457"/>
      <c r="AD32" s="457" t="s">
        <v>98</v>
      </c>
      <c r="AE32" s="457"/>
      <c r="AF32" s="457">
        <v>27477</v>
      </c>
      <c r="AG32" s="457"/>
      <c r="AH32" s="457">
        <v>86846</v>
      </c>
      <c r="AI32" s="457"/>
      <c r="AJ32" s="457">
        <v>236429</v>
      </c>
      <c r="AK32" s="457"/>
      <c r="AL32" s="457">
        <v>81398</v>
      </c>
      <c r="AM32" s="457"/>
      <c r="AN32" s="457">
        <v>1817</v>
      </c>
      <c r="AO32" s="457"/>
      <c r="AP32" s="457">
        <v>13208</v>
      </c>
      <c r="AQ32" s="457"/>
      <c r="AR32" s="457">
        <v>31</v>
      </c>
      <c r="AS32" s="457"/>
      <c r="AT32" s="457">
        <v>520</v>
      </c>
      <c r="AU32" s="457"/>
      <c r="AV32" s="457">
        <v>16897</v>
      </c>
      <c r="AW32" s="457"/>
      <c r="AX32" s="458">
        <v>0.09</v>
      </c>
      <c r="AY32" s="459"/>
      <c r="AZ32" s="4861" t="str">
        <f>+V32</f>
        <v xml:space="preserve">Desarrollo de planes de inversión para el fortalecimiento de los procesos de gestión de riesgo en la prestación de sercivicios públicos de APSB </v>
      </c>
      <c r="BA32" s="2203">
        <v>270132263.98000002</v>
      </c>
      <c r="BB32" s="2203">
        <v>270132263.98000002</v>
      </c>
      <c r="BC32" s="461">
        <f>+X32/W32</f>
        <v>0.99999999637214743</v>
      </c>
      <c r="BD32" s="2200" t="s">
        <v>407</v>
      </c>
      <c r="BE32" s="460" t="s">
        <v>408</v>
      </c>
      <c r="BF32" s="462">
        <v>42583</v>
      </c>
      <c r="BG32" s="2507">
        <v>42735</v>
      </c>
      <c r="BH32" s="462">
        <v>42735</v>
      </c>
      <c r="BI32" s="2507"/>
      <c r="BJ32" s="2204" t="s">
        <v>380</v>
      </c>
    </row>
    <row r="33" spans="1:64" ht="15" thickBot="1" x14ac:dyDescent="0.25">
      <c r="A33" s="465"/>
      <c r="B33" s="2"/>
      <c r="C33" s="2"/>
      <c r="D33" s="2"/>
      <c r="E33" s="2"/>
      <c r="F33" s="2"/>
      <c r="G33" s="2"/>
      <c r="H33" s="466"/>
      <c r="I33" s="466"/>
      <c r="J33" s="467"/>
      <c r="K33" s="416"/>
      <c r="L33" s="417"/>
      <c r="M33" s="417"/>
      <c r="N33" s="468"/>
      <c r="O33" s="416"/>
      <c r="P33" s="417"/>
      <c r="Q33" s="416"/>
      <c r="R33" s="417"/>
      <c r="S33" s="416"/>
      <c r="T33" s="416"/>
      <c r="U33" s="416"/>
      <c r="V33" s="416"/>
      <c r="W33" s="416"/>
      <c r="X33" s="469"/>
      <c r="Y33" s="469"/>
      <c r="Z33" s="470"/>
      <c r="AA33" s="416"/>
      <c r="AB33" s="2"/>
      <c r="AC33" s="471"/>
      <c r="AD33" s="2"/>
      <c r="AE33" s="471"/>
      <c r="AF33" s="2"/>
      <c r="AG33" s="471"/>
      <c r="AH33" s="2"/>
      <c r="AI33" s="471"/>
      <c r="AJ33" s="2"/>
      <c r="AK33" s="471"/>
      <c r="AL33" s="2"/>
      <c r="AM33" s="471"/>
      <c r="AN33" s="2"/>
      <c r="AO33" s="471"/>
      <c r="AP33" s="2"/>
      <c r="AQ33" s="471"/>
      <c r="AR33" s="2"/>
      <c r="AS33" s="471"/>
      <c r="AT33" s="2"/>
      <c r="AU33" s="471"/>
      <c r="AV33" s="2"/>
      <c r="AW33" s="471"/>
      <c r="AX33" s="2"/>
      <c r="AY33" s="471"/>
      <c r="AZ33" s="2503"/>
      <c r="BA33" s="472"/>
      <c r="BB33" s="472"/>
      <c r="BC33" s="2503"/>
      <c r="BD33" s="2503"/>
      <c r="BE33" s="2503"/>
      <c r="BF33" s="473"/>
      <c r="BG33" s="474"/>
      <c r="BH33" s="475"/>
      <c r="BI33" s="476"/>
      <c r="BJ33" s="477"/>
    </row>
    <row r="34" spans="1:64" s="491" customFormat="1" ht="24" customHeight="1" thickBot="1" x14ac:dyDescent="0.3">
      <c r="A34" s="2960" t="s">
        <v>119</v>
      </c>
      <c r="B34" s="2961"/>
      <c r="C34" s="2961"/>
      <c r="D34" s="2961"/>
      <c r="E34" s="2961"/>
      <c r="F34" s="2961"/>
      <c r="G34" s="2961"/>
      <c r="H34" s="2961"/>
      <c r="I34" s="2961"/>
      <c r="J34" s="2961"/>
      <c r="K34" s="2961"/>
      <c r="L34" s="2961"/>
      <c r="M34" s="2961"/>
      <c r="N34" s="2961"/>
      <c r="O34" s="2961"/>
      <c r="P34" s="2961"/>
      <c r="Q34" s="2961"/>
      <c r="R34" s="2962"/>
      <c r="S34" s="478">
        <f>SUM(S13:S32)</f>
        <v>9794955963</v>
      </c>
      <c r="T34" s="479"/>
      <c r="U34" s="480"/>
      <c r="V34" s="481"/>
      <c r="W34" s="4857">
        <f>SUM(W13:W32)</f>
        <v>9794955962.7099991</v>
      </c>
      <c r="X34" s="4858">
        <f>SUM(X13:X32)</f>
        <v>7202801675.6399994</v>
      </c>
      <c r="Y34" s="4858">
        <f>SUM(Y13:Y32)</f>
        <v>5302225841.7399998</v>
      </c>
      <c r="Z34" s="482"/>
      <c r="AA34" s="480"/>
      <c r="AB34" s="483"/>
      <c r="AC34" s="385"/>
      <c r="AD34" s="483"/>
      <c r="AE34" s="385"/>
      <c r="AF34" s="483"/>
      <c r="AG34" s="385"/>
      <c r="AH34" s="483"/>
      <c r="AI34" s="385"/>
      <c r="AJ34" s="483"/>
      <c r="AK34" s="385"/>
      <c r="AL34" s="483"/>
      <c r="AM34" s="385"/>
      <c r="AN34" s="483"/>
      <c r="AO34" s="385"/>
      <c r="AP34" s="483"/>
      <c r="AQ34" s="385"/>
      <c r="AR34" s="483"/>
      <c r="AS34" s="385"/>
      <c r="AT34" s="483"/>
      <c r="AU34" s="385"/>
      <c r="AV34" s="483"/>
      <c r="AW34" s="385"/>
      <c r="AX34" s="483"/>
      <c r="AY34" s="385"/>
      <c r="AZ34" s="2555"/>
      <c r="BA34" s="484">
        <f>SUM(BA13:BA33)</f>
        <v>7202801486.3499985</v>
      </c>
      <c r="BB34" s="484">
        <f>SUM(BB13:BB33)</f>
        <v>5302225585.4499989</v>
      </c>
      <c r="BC34" s="2555"/>
      <c r="BD34" s="2555"/>
      <c r="BE34" s="2555"/>
      <c r="BF34" s="485"/>
      <c r="BG34" s="486"/>
      <c r="BH34" s="487"/>
      <c r="BI34" s="488"/>
      <c r="BJ34" s="489"/>
      <c r="BK34" s="490"/>
      <c r="BL34" s="490"/>
    </row>
    <row r="35" spans="1:64" x14ac:dyDescent="0.2">
      <c r="W35" s="1535"/>
      <c r="X35" s="1907"/>
      <c r="Y35" s="1907"/>
      <c r="AZ35" s="1893"/>
      <c r="BA35" s="1893"/>
      <c r="BB35" s="1893"/>
      <c r="BC35" s="1893"/>
      <c r="BD35" s="1893"/>
      <c r="BE35" s="1893"/>
      <c r="BJ35" s="2456"/>
    </row>
    <row r="36" spans="1:64" ht="72" customHeight="1" x14ac:dyDescent="0.25">
      <c r="S36" s="493"/>
      <c r="W36" s="1908"/>
      <c r="X36" s="1909"/>
      <c r="Y36" s="1909"/>
      <c r="AZ36" s="1893"/>
      <c r="BA36" s="151"/>
      <c r="BB36" s="690"/>
      <c r="BC36" s="2503"/>
      <c r="BD36" s="1893"/>
      <c r="BE36" s="1893"/>
      <c r="BJ36" s="2456"/>
    </row>
    <row r="37" spans="1:64" ht="15" x14ac:dyDescent="0.25">
      <c r="C37" s="2963" t="s">
        <v>446</v>
      </c>
      <c r="D37" s="2963"/>
      <c r="E37" s="2963"/>
      <c r="F37" s="2963"/>
      <c r="G37" s="2963"/>
      <c r="H37" s="2963"/>
      <c r="S37" s="497"/>
      <c r="W37" s="691"/>
      <c r="X37" s="692"/>
      <c r="Y37" s="693"/>
      <c r="AZ37" s="1893"/>
      <c r="BA37" s="472"/>
      <c r="BB37" s="472"/>
      <c r="BC37" s="2503"/>
      <c r="BD37" s="1893"/>
      <c r="BE37" s="1893"/>
      <c r="BJ37" s="2456"/>
    </row>
    <row r="38" spans="1:64" x14ac:dyDescent="0.2">
      <c r="C38" s="2964" t="s">
        <v>447</v>
      </c>
      <c r="D38" s="2964"/>
      <c r="E38" s="2964"/>
      <c r="F38" s="2964"/>
      <c r="G38" s="2964"/>
      <c r="H38" s="2964"/>
      <c r="W38" s="694"/>
      <c r="X38" s="695"/>
      <c r="Y38" s="695"/>
      <c r="AZ38" s="1893"/>
      <c r="BA38" s="2503"/>
      <c r="BB38" s="2503"/>
      <c r="BC38" s="2503"/>
      <c r="BD38" s="1893"/>
      <c r="BE38" s="1893"/>
      <c r="BJ38" s="2456"/>
    </row>
    <row r="39" spans="1:64" x14ac:dyDescent="0.2">
      <c r="W39" s="416"/>
      <c r="X39" s="469"/>
      <c r="Y39" s="469"/>
      <c r="AZ39" s="1893"/>
      <c r="BA39" s="2503"/>
      <c r="BB39" s="2503"/>
      <c r="BC39" s="2503"/>
      <c r="BD39" s="1893"/>
      <c r="BE39" s="1893"/>
      <c r="BJ39" s="2456"/>
    </row>
    <row r="40" spans="1:64" x14ac:dyDescent="0.2">
      <c r="W40" s="416"/>
      <c r="X40" s="469"/>
      <c r="Y40" s="469"/>
      <c r="AZ40" s="1893"/>
      <c r="BA40" s="2503"/>
      <c r="BB40" s="2503"/>
      <c r="BC40" s="2503"/>
      <c r="BD40" s="1893"/>
      <c r="BE40" s="1893"/>
      <c r="BJ40" s="2456"/>
    </row>
    <row r="41" spans="1:64" x14ac:dyDescent="0.2">
      <c r="W41" s="416"/>
      <c r="X41" s="469"/>
      <c r="Y41" s="469"/>
      <c r="AZ41" s="1893"/>
      <c r="BA41" s="2503"/>
      <c r="BB41" s="2503"/>
      <c r="BC41" s="2503"/>
      <c r="BD41" s="1893"/>
      <c r="BE41" s="1893"/>
      <c r="BJ41" s="2456"/>
    </row>
    <row r="42" spans="1:64" x14ac:dyDescent="0.2">
      <c r="W42" s="416"/>
      <c r="X42" s="469"/>
      <c r="Y42" s="469"/>
      <c r="AZ42" s="1893"/>
      <c r="BA42" s="1893"/>
      <c r="BB42" s="1893"/>
      <c r="BC42" s="1893"/>
      <c r="BD42" s="1893"/>
      <c r="BE42" s="1893"/>
      <c r="BJ42" s="2456"/>
    </row>
    <row r="43" spans="1:64" x14ac:dyDescent="0.2">
      <c r="W43" s="416"/>
      <c r="X43" s="469"/>
      <c r="Y43" s="469"/>
      <c r="AZ43" s="1893"/>
      <c r="BA43" s="1893"/>
      <c r="BB43" s="1893"/>
      <c r="BC43" s="1893"/>
      <c r="BD43" s="1893"/>
      <c r="BE43" s="1893"/>
      <c r="BJ43" s="2456"/>
    </row>
  </sheetData>
  <sheetProtection algorithmName="SHA-512" hashValue="lI5i7RX02JKEOiKjyhbunSBgjAjYBlVTce9WZhE9d2PU3L54PuehQQSZgbo52jJdQchxsOq1SfNEwLNFdF1Ttw==" saltValue="lxOKGMnozzPcptuvxD69IQ==" spinCount="100000" sheet="1" objects="1" scenarios="1"/>
  <mergeCells count="191">
    <mergeCell ref="Q6:AA6"/>
    <mergeCell ref="BF6:BJ6"/>
    <mergeCell ref="E32:F32"/>
    <mergeCell ref="H32:I32"/>
    <mergeCell ref="A34:R34"/>
    <mergeCell ref="C37:H37"/>
    <mergeCell ref="C38:H38"/>
    <mergeCell ref="BC30:BC31"/>
    <mergeCell ref="BD30:BD31"/>
    <mergeCell ref="BF30:BF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S30:S31"/>
    <mergeCell ref="T30:T31"/>
    <mergeCell ref="A24:A32"/>
    <mergeCell ref="BH30:BH31"/>
    <mergeCell ref="BJ30:BJ31"/>
    <mergeCell ref="AU30:AU31"/>
    <mergeCell ref="AV30:AV31"/>
    <mergeCell ref="AW30:AW31"/>
    <mergeCell ref="AX30:AX31"/>
    <mergeCell ref="AY30:AY31"/>
    <mergeCell ref="AO30:AO31"/>
    <mergeCell ref="AP30:AP31"/>
    <mergeCell ref="AQ30:AQ31"/>
    <mergeCell ref="AR30:AR31"/>
    <mergeCell ref="AS30:AS31"/>
    <mergeCell ref="AT30:AT31"/>
    <mergeCell ref="Z30:Z31"/>
    <mergeCell ref="AA30:AA31"/>
    <mergeCell ref="AB30:AB31"/>
    <mergeCell ref="L30:L31"/>
    <mergeCell ref="M30:M31"/>
    <mergeCell ref="O30:O31"/>
    <mergeCell ref="P30:P31"/>
    <mergeCell ref="Q30:Q31"/>
    <mergeCell ref="R30:R31"/>
    <mergeCell ref="N30:N31"/>
    <mergeCell ref="BK19:BK20"/>
    <mergeCell ref="BD21:BD22"/>
    <mergeCell ref="BE21:BE22"/>
    <mergeCell ref="AW19:AW22"/>
    <mergeCell ref="AX19:AX22"/>
    <mergeCell ref="AK19:AK22"/>
    <mergeCell ref="U30:U31"/>
    <mergeCell ref="D30:D31"/>
    <mergeCell ref="E30:F31"/>
    <mergeCell ref="G30:G31"/>
    <mergeCell ref="H30:I31"/>
    <mergeCell ref="J30:J31"/>
    <mergeCell ref="K30:K31"/>
    <mergeCell ref="E27:F27"/>
    <mergeCell ref="U19:U22"/>
    <mergeCell ref="AB19:AB22"/>
    <mergeCell ref="G18:G22"/>
    <mergeCell ref="H18:I22"/>
    <mergeCell ref="O19:O22"/>
    <mergeCell ref="P19:P22"/>
    <mergeCell ref="Q19:Q22"/>
    <mergeCell ref="T19:T22"/>
    <mergeCell ref="E24:L24"/>
    <mergeCell ref="H25:L25"/>
    <mergeCell ref="AQ14:AQ16"/>
    <mergeCell ref="AR14:AR16"/>
    <mergeCell ref="BD8:BD9"/>
    <mergeCell ref="BE8:BE9"/>
    <mergeCell ref="AT14:AT16"/>
    <mergeCell ref="AU14:AU16"/>
    <mergeCell ref="E29:F29"/>
    <mergeCell ref="H29:I29"/>
    <mergeCell ref="AY19:AY22"/>
    <mergeCell ref="BD19:BD20"/>
    <mergeCell ref="E26:F26"/>
    <mergeCell ref="H26:I26"/>
    <mergeCell ref="H27:I27"/>
    <mergeCell ref="E28:F28"/>
    <mergeCell ref="H28:I28"/>
    <mergeCell ref="AT19:AT22"/>
    <mergeCell ref="AU19:AU22"/>
    <mergeCell ref="AV19:AV22"/>
    <mergeCell ref="AM19:AM22"/>
    <mergeCell ref="AN19:AN22"/>
    <mergeCell ref="AO19:AO22"/>
    <mergeCell ref="AP19:AP22"/>
    <mergeCell ref="AQ19:AQ22"/>
    <mergeCell ref="AR19:AR22"/>
    <mergeCell ref="BG14:BG16"/>
    <mergeCell ref="BH14:BH16"/>
    <mergeCell ref="BI14:BI16"/>
    <mergeCell ref="BJ14:BJ16"/>
    <mergeCell ref="AV14:AV16"/>
    <mergeCell ref="AW14:AW16"/>
    <mergeCell ref="AX14:AX16"/>
    <mergeCell ref="AY14:AY16"/>
    <mergeCell ref="BE14:BE16"/>
    <mergeCell ref="BF14:BF16"/>
    <mergeCell ref="AZ8:AZ9"/>
    <mergeCell ref="BA8:BA9"/>
    <mergeCell ref="BB8:BB9"/>
    <mergeCell ref="BC8:BC9"/>
    <mergeCell ref="O7:O9"/>
    <mergeCell ref="AL14:AL16"/>
    <mergeCell ref="AM14:AM16"/>
    <mergeCell ref="AN14:AN16"/>
    <mergeCell ref="AO14:AO16"/>
    <mergeCell ref="AD14:AD16"/>
    <mergeCell ref="AE14:AE16"/>
    <mergeCell ref="AF14:AF16"/>
    <mergeCell ref="AG14:AG16"/>
    <mergeCell ref="AH14:AH16"/>
    <mergeCell ref="AI14:AI16"/>
    <mergeCell ref="AV8:AW8"/>
    <mergeCell ref="AP8:AQ8"/>
    <mergeCell ref="AB14:AB16"/>
    <mergeCell ref="AC14:AC16"/>
    <mergeCell ref="P7:P9"/>
    <mergeCell ref="Q7:Q9"/>
    <mergeCell ref="U13:U15"/>
    <mergeCell ref="O14:O16"/>
    <mergeCell ref="V7:V9"/>
    <mergeCell ref="AB7:AM7"/>
    <mergeCell ref="AN7:AY7"/>
    <mergeCell ref="AN8:AO8"/>
    <mergeCell ref="AR8:AS8"/>
    <mergeCell ref="AT8:AU8"/>
    <mergeCell ref="AI19:AI22"/>
    <mergeCell ref="AJ19:AJ22"/>
    <mergeCell ref="AS14:AS16"/>
    <mergeCell ref="P14:P16"/>
    <mergeCell ref="Q14:Q16"/>
    <mergeCell ref="AS19:AS22"/>
    <mergeCell ref="AG19:AG22"/>
    <mergeCell ref="AH19:AH22"/>
    <mergeCell ref="AC19:AC22"/>
    <mergeCell ref="AD19:AD22"/>
    <mergeCell ref="AE19:AE22"/>
    <mergeCell ref="AF19:AF22"/>
    <mergeCell ref="AL19:AL22"/>
    <mergeCell ref="AJ14:AJ16"/>
    <mergeCell ref="AK14:AK16"/>
    <mergeCell ref="W7:Y8"/>
    <mergeCell ref="Z7:Z9"/>
    <mergeCell ref="AA7:AA9"/>
    <mergeCell ref="AP14:AP16"/>
    <mergeCell ref="A13:A22"/>
    <mergeCell ref="B13:C22"/>
    <mergeCell ref="D13:D22"/>
    <mergeCell ref="E13:F22"/>
    <mergeCell ref="G13:G16"/>
    <mergeCell ref="H13:I16"/>
    <mergeCell ref="T13:T16"/>
    <mergeCell ref="H7:I9"/>
    <mergeCell ref="J7:J9"/>
    <mergeCell ref="K7:K9"/>
    <mergeCell ref="L7:L9"/>
    <mergeCell ref="M7:N8"/>
    <mergeCell ref="E11:L11"/>
    <mergeCell ref="A1:BF4"/>
    <mergeCell ref="A5:M6"/>
    <mergeCell ref="Q5:BJ5"/>
    <mergeCell ref="AB6:AY6"/>
    <mergeCell ref="A7:A9"/>
    <mergeCell ref="B7:C9"/>
    <mergeCell ref="D7:D9"/>
    <mergeCell ref="E7:F9"/>
    <mergeCell ref="G7:G9"/>
    <mergeCell ref="AZ7:BE7"/>
    <mergeCell ref="BF7:BG8"/>
    <mergeCell ref="BH7:BI8"/>
    <mergeCell ref="BJ7:BJ9"/>
    <mergeCell ref="AB8:AC8"/>
    <mergeCell ref="AD8:AE8"/>
    <mergeCell ref="AF8:AG8"/>
    <mergeCell ref="AH8:AI8"/>
    <mergeCell ref="R7:R9"/>
    <mergeCell ref="S7:S9"/>
    <mergeCell ref="T7:T9"/>
    <mergeCell ref="U7:U9"/>
    <mergeCell ref="AX8:AY8"/>
    <mergeCell ref="AJ8:AK8"/>
    <mergeCell ref="AL8:AM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L130"/>
  <sheetViews>
    <sheetView topLeftCell="A70" zoomScale="60" zoomScaleNormal="60" workbookViewId="0">
      <selection activeCell="K126" sqref="K126"/>
    </sheetView>
  </sheetViews>
  <sheetFormatPr baseColWidth="10" defaultColWidth="11.42578125" defaultRowHeight="14.25" x14ac:dyDescent="0.2"/>
  <cols>
    <col min="1" max="1" width="12.5703125" style="761" customWidth="1"/>
    <col min="2" max="2" width="4" style="761" customWidth="1"/>
    <col min="3" max="3" width="14.42578125" style="761" customWidth="1"/>
    <col min="4" max="4" width="15" style="761" customWidth="1"/>
    <col min="5" max="5" width="7" style="761" customWidth="1"/>
    <col min="6" max="6" width="11.42578125" style="761" customWidth="1"/>
    <col min="7" max="7" width="12.28515625" style="761" customWidth="1"/>
    <col min="8" max="8" width="8.5703125" style="761" customWidth="1"/>
    <col min="9" max="9" width="17.42578125" style="761" customWidth="1"/>
    <col min="10" max="10" width="11.5703125" style="761" customWidth="1"/>
    <col min="11" max="11" width="33.85546875" style="880" customWidth="1"/>
    <col min="12" max="12" width="18.85546875" style="884" customWidth="1"/>
    <col min="13" max="13" width="10.42578125" style="761" customWidth="1"/>
    <col min="14" max="14" width="10.140625" style="1890" customWidth="1"/>
    <col min="15" max="15" width="28" style="761" customWidth="1"/>
    <col min="16" max="16" width="13.42578125" style="885" customWidth="1"/>
    <col min="17" max="17" width="21.42578125" style="886" customWidth="1"/>
    <col min="18" max="18" width="21" style="887" customWidth="1"/>
    <col min="19" max="19" width="21.42578125" style="879" customWidth="1"/>
    <col min="20" max="20" width="27.5703125" style="761" customWidth="1"/>
    <col min="21" max="21" width="30.42578125" style="761" customWidth="1"/>
    <col min="22" max="22" width="28" style="880" customWidth="1"/>
    <col min="23" max="23" width="30" style="1279" customWidth="1"/>
    <col min="24" max="24" width="25.85546875" style="1280" customWidth="1"/>
    <col min="25" max="25" width="27.140625" style="1280" customWidth="1"/>
    <col min="26" max="26" width="12.140625" style="881" customWidth="1"/>
    <col min="27" max="27" width="17.140625" style="880" customWidth="1"/>
    <col min="28" max="28" width="8.7109375" style="734" bestFit="1" customWidth="1"/>
    <col min="29" max="29" width="8.7109375" style="882" customWidth="1"/>
    <col min="30" max="30" width="10.42578125" style="734" customWidth="1"/>
    <col min="31" max="31" width="10.42578125" style="882" customWidth="1"/>
    <col min="32" max="32" width="10.42578125" style="734" customWidth="1"/>
    <col min="33" max="33" width="10.42578125" style="882" customWidth="1"/>
    <col min="34" max="34" width="10.42578125" style="734" customWidth="1"/>
    <col min="35" max="35" width="10.42578125" style="882" customWidth="1"/>
    <col min="36" max="36" width="10.42578125" style="734" customWidth="1"/>
    <col min="37" max="37" width="10.42578125" style="882" customWidth="1"/>
    <col min="38" max="38" width="10.42578125" style="734" customWidth="1"/>
    <col min="39" max="39" width="10.42578125" style="882" customWidth="1"/>
    <col min="40" max="40" width="10.140625" style="734" customWidth="1"/>
    <col min="41" max="41" width="10.140625" style="882" customWidth="1"/>
    <col min="42" max="42" width="11.42578125" style="734" customWidth="1"/>
    <col min="43" max="43" width="11.42578125" style="882" customWidth="1"/>
    <col min="44" max="44" width="11.42578125" style="734" customWidth="1"/>
    <col min="45" max="45" width="11.42578125" style="882" customWidth="1"/>
    <col min="46" max="46" width="12.85546875" style="734" customWidth="1"/>
    <col min="47" max="47" width="12.85546875" style="882" customWidth="1"/>
    <col min="48" max="48" width="12.85546875" style="734" customWidth="1"/>
    <col min="49" max="49" width="12.85546875" style="882" customWidth="1"/>
    <col min="50" max="50" width="12.85546875" style="734" customWidth="1"/>
    <col min="51" max="51" width="12.85546875" style="882" customWidth="1"/>
    <col min="52" max="57" width="31" style="734" customWidth="1"/>
    <col min="58" max="58" width="22.7109375" style="888" customWidth="1"/>
    <col min="59" max="59" width="22.7109375" style="889" customWidth="1"/>
    <col min="60" max="60" width="22.7109375" style="890" customWidth="1"/>
    <col min="61" max="61" width="22.7109375" style="891" customWidth="1"/>
    <col min="62" max="62" width="28.7109375" style="892" customWidth="1"/>
    <col min="63" max="63" width="21.42578125" style="733" customWidth="1"/>
    <col min="64" max="64" width="15.7109375" style="733" bestFit="1" customWidth="1"/>
    <col min="65" max="16384" width="11.42578125" style="734"/>
  </cols>
  <sheetData>
    <row r="1" spans="1:64" ht="21" customHeight="1" x14ac:dyDescent="0.25">
      <c r="A1" s="3110" t="s">
        <v>448</v>
      </c>
      <c r="B1" s="3110"/>
      <c r="C1" s="3110"/>
      <c r="D1" s="3110"/>
      <c r="E1" s="3110"/>
      <c r="F1" s="3110"/>
      <c r="G1" s="3110"/>
      <c r="H1" s="3110"/>
      <c r="I1" s="3110"/>
      <c r="J1" s="3110"/>
      <c r="K1" s="3110"/>
      <c r="L1" s="3110"/>
      <c r="M1" s="3110"/>
      <c r="N1" s="3110"/>
      <c r="O1" s="3110"/>
      <c r="P1" s="3110"/>
      <c r="Q1" s="3110"/>
      <c r="R1" s="3110"/>
      <c r="S1" s="3110"/>
      <c r="T1" s="3110"/>
      <c r="U1" s="3110"/>
      <c r="V1" s="3110"/>
      <c r="W1" s="3110"/>
      <c r="X1" s="3110"/>
      <c r="Y1" s="3110"/>
      <c r="Z1" s="3110"/>
      <c r="AA1" s="3110"/>
      <c r="AB1" s="3110"/>
      <c r="AC1" s="3110"/>
      <c r="AD1" s="3110"/>
      <c r="AE1" s="3110"/>
      <c r="AF1" s="3110"/>
      <c r="AG1" s="3110"/>
      <c r="AH1" s="3110"/>
      <c r="AI1" s="3110"/>
      <c r="AJ1" s="3110"/>
      <c r="AK1" s="3110"/>
      <c r="AL1" s="3110"/>
      <c r="AM1" s="3110"/>
      <c r="AN1" s="3110"/>
      <c r="AO1" s="3110"/>
      <c r="AP1" s="3110"/>
      <c r="AQ1" s="3110"/>
      <c r="AR1" s="3110"/>
      <c r="AS1" s="3110"/>
      <c r="AT1" s="3110"/>
      <c r="AU1" s="3110"/>
      <c r="AV1" s="3110"/>
      <c r="AW1" s="3110"/>
      <c r="AX1" s="3110"/>
      <c r="AY1" s="3110"/>
      <c r="AZ1" s="3110"/>
      <c r="BA1" s="3110"/>
      <c r="BB1" s="3110"/>
      <c r="BC1" s="3110"/>
      <c r="BD1" s="3110"/>
      <c r="BE1" s="3110"/>
      <c r="BF1" s="3110"/>
      <c r="BG1" s="732"/>
      <c r="BI1" s="1895" t="s">
        <v>1</v>
      </c>
      <c r="BJ1" s="1895" t="s">
        <v>2</v>
      </c>
    </row>
    <row r="2" spans="1:64" ht="21" customHeight="1" x14ac:dyDescent="0.25">
      <c r="A2" s="3111"/>
      <c r="B2" s="3111"/>
      <c r="C2" s="3111"/>
      <c r="D2" s="3111"/>
      <c r="E2" s="3111"/>
      <c r="F2" s="3111"/>
      <c r="G2" s="3111"/>
      <c r="H2" s="3111"/>
      <c r="I2" s="3111"/>
      <c r="J2" s="3111"/>
      <c r="K2" s="3111"/>
      <c r="L2" s="3111"/>
      <c r="M2" s="3111"/>
      <c r="N2" s="3111"/>
      <c r="O2" s="3111"/>
      <c r="P2" s="3111"/>
      <c r="Q2" s="3111"/>
      <c r="R2" s="3111"/>
      <c r="S2" s="3111"/>
      <c r="T2" s="3111"/>
      <c r="U2" s="3111"/>
      <c r="V2" s="3111"/>
      <c r="W2" s="3111"/>
      <c r="X2" s="3111"/>
      <c r="Y2" s="3111"/>
      <c r="Z2" s="3111"/>
      <c r="AA2" s="3111"/>
      <c r="AB2" s="3111"/>
      <c r="AC2" s="3111"/>
      <c r="AD2" s="3111"/>
      <c r="AE2" s="3111"/>
      <c r="AF2" s="3111"/>
      <c r="AG2" s="3111"/>
      <c r="AH2" s="3111"/>
      <c r="AI2" s="3111"/>
      <c r="AJ2" s="3111"/>
      <c r="AK2" s="3111"/>
      <c r="AL2" s="3111"/>
      <c r="AM2" s="3111"/>
      <c r="AN2" s="3111"/>
      <c r="AO2" s="3111"/>
      <c r="AP2" s="3111"/>
      <c r="AQ2" s="3111"/>
      <c r="AR2" s="3111"/>
      <c r="AS2" s="3111"/>
      <c r="AT2" s="3111"/>
      <c r="AU2" s="3111"/>
      <c r="AV2" s="3111"/>
      <c r="AW2" s="3111"/>
      <c r="AX2" s="3111"/>
      <c r="AY2" s="3111"/>
      <c r="AZ2" s="3111"/>
      <c r="BA2" s="3111"/>
      <c r="BB2" s="3111"/>
      <c r="BC2" s="3111"/>
      <c r="BD2" s="3111"/>
      <c r="BE2" s="3111"/>
      <c r="BF2" s="3111"/>
      <c r="BG2" s="735"/>
      <c r="BI2" s="1896" t="s">
        <v>3</v>
      </c>
      <c r="BJ2" s="1897">
        <v>5</v>
      </c>
    </row>
    <row r="3" spans="1:64" ht="21" customHeight="1" x14ac:dyDescent="0.25">
      <c r="A3" s="3111"/>
      <c r="B3" s="3111"/>
      <c r="C3" s="3111"/>
      <c r="D3" s="3111"/>
      <c r="E3" s="3111"/>
      <c r="F3" s="3111"/>
      <c r="G3" s="3111"/>
      <c r="H3" s="3111"/>
      <c r="I3" s="3111"/>
      <c r="J3" s="3111"/>
      <c r="K3" s="3111"/>
      <c r="L3" s="3111"/>
      <c r="M3" s="3111"/>
      <c r="N3" s="3111"/>
      <c r="O3" s="3111"/>
      <c r="P3" s="3111"/>
      <c r="Q3" s="3111"/>
      <c r="R3" s="3111"/>
      <c r="S3" s="3111"/>
      <c r="T3" s="3111"/>
      <c r="U3" s="3111"/>
      <c r="V3" s="3111"/>
      <c r="W3" s="3111"/>
      <c r="X3" s="3111"/>
      <c r="Y3" s="3111"/>
      <c r="Z3" s="3111"/>
      <c r="AA3" s="3111"/>
      <c r="AB3" s="3111"/>
      <c r="AC3" s="3111"/>
      <c r="AD3" s="3111"/>
      <c r="AE3" s="3111"/>
      <c r="AF3" s="3111"/>
      <c r="AG3" s="3111"/>
      <c r="AH3" s="3111"/>
      <c r="AI3" s="3111"/>
      <c r="AJ3" s="3111"/>
      <c r="AK3" s="3111"/>
      <c r="AL3" s="3111"/>
      <c r="AM3" s="3111"/>
      <c r="AN3" s="3111"/>
      <c r="AO3" s="3111"/>
      <c r="AP3" s="3111"/>
      <c r="AQ3" s="3111"/>
      <c r="AR3" s="3111"/>
      <c r="AS3" s="3111"/>
      <c r="AT3" s="3111"/>
      <c r="AU3" s="3111"/>
      <c r="AV3" s="3111"/>
      <c r="AW3" s="3111"/>
      <c r="AX3" s="3111"/>
      <c r="AY3" s="3111"/>
      <c r="AZ3" s="3111"/>
      <c r="BA3" s="3111"/>
      <c r="BB3" s="3111"/>
      <c r="BC3" s="3111"/>
      <c r="BD3" s="3111"/>
      <c r="BE3" s="3111"/>
      <c r="BF3" s="3111"/>
      <c r="BG3" s="735"/>
      <c r="BI3" s="1895" t="s">
        <v>4</v>
      </c>
      <c r="BJ3" s="1898" t="s">
        <v>335</v>
      </c>
    </row>
    <row r="4" spans="1:64" ht="21" customHeight="1" x14ac:dyDescent="0.2">
      <c r="A4" s="3112"/>
      <c r="B4" s="3112"/>
      <c r="C4" s="3112"/>
      <c r="D4" s="3112"/>
      <c r="E4" s="3112"/>
      <c r="F4" s="3112"/>
      <c r="G4" s="3112"/>
      <c r="H4" s="3112"/>
      <c r="I4" s="3112"/>
      <c r="J4" s="3112"/>
      <c r="K4" s="3112"/>
      <c r="L4" s="3112"/>
      <c r="M4" s="3112"/>
      <c r="N4" s="3112"/>
      <c r="O4" s="3112"/>
      <c r="P4" s="3112"/>
      <c r="Q4" s="3112"/>
      <c r="R4" s="3112"/>
      <c r="S4" s="3112"/>
      <c r="T4" s="3112"/>
      <c r="U4" s="3112"/>
      <c r="V4" s="3112"/>
      <c r="W4" s="3112"/>
      <c r="X4" s="3112"/>
      <c r="Y4" s="3112"/>
      <c r="Z4" s="3112"/>
      <c r="AA4" s="3112"/>
      <c r="AB4" s="3112"/>
      <c r="AC4" s="3112"/>
      <c r="AD4" s="3112"/>
      <c r="AE4" s="3112"/>
      <c r="AF4" s="3112"/>
      <c r="AG4" s="3112"/>
      <c r="AH4" s="3112"/>
      <c r="AI4" s="3112"/>
      <c r="AJ4" s="3112"/>
      <c r="AK4" s="3112"/>
      <c r="AL4" s="3112"/>
      <c r="AM4" s="3112"/>
      <c r="AN4" s="3112"/>
      <c r="AO4" s="3112"/>
      <c r="AP4" s="3112"/>
      <c r="AQ4" s="3112"/>
      <c r="AR4" s="3112"/>
      <c r="AS4" s="3112"/>
      <c r="AT4" s="3112"/>
      <c r="AU4" s="3112"/>
      <c r="AV4" s="3112"/>
      <c r="AW4" s="3112"/>
      <c r="AX4" s="3112"/>
      <c r="AY4" s="3112"/>
      <c r="AZ4" s="3112"/>
      <c r="BA4" s="3112"/>
      <c r="BB4" s="3112"/>
      <c r="BC4" s="3112"/>
      <c r="BD4" s="3112"/>
      <c r="BE4" s="3112"/>
      <c r="BF4" s="3112"/>
      <c r="BG4" s="736"/>
      <c r="BI4" s="679" t="s">
        <v>6</v>
      </c>
      <c r="BJ4" s="1899" t="s">
        <v>7</v>
      </c>
    </row>
    <row r="5" spans="1:64"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4" s="4" customFormat="1"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4" s="738" customFormat="1" ht="22.5" customHeight="1" x14ac:dyDescent="0.25">
      <c r="A7" s="3123" t="s">
        <v>11</v>
      </c>
      <c r="B7" s="3116" t="s">
        <v>12</v>
      </c>
      <c r="C7" s="3117"/>
      <c r="D7" s="3113" t="s">
        <v>11</v>
      </c>
      <c r="E7" s="3116" t="s">
        <v>13</v>
      </c>
      <c r="F7" s="3117"/>
      <c r="G7" s="3113" t="s">
        <v>11</v>
      </c>
      <c r="H7" s="3116" t="s">
        <v>14</v>
      </c>
      <c r="I7" s="3117"/>
      <c r="J7" s="3113" t="s">
        <v>11</v>
      </c>
      <c r="K7" s="4863" t="s">
        <v>15</v>
      </c>
      <c r="L7" s="3113" t="s">
        <v>16</v>
      </c>
      <c r="M7" s="3116" t="s">
        <v>17</v>
      </c>
      <c r="N7" s="3117"/>
      <c r="O7" s="3113" t="s">
        <v>18</v>
      </c>
      <c r="P7" s="3120" t="s">
        <v>19</v>
      </c>
      <c r="Q7" s="3113" t="s">
        <v>9</v>
      </c>
      <c r="R7" s="3113" t="s">
        <v>20</v>
      </c>
      <c r="S7" s="3176" t="s">
        <v>21</v>
      </c>
      <c r="T7" s="3113" t="s">
        <v>22</v>
      </c>
      <c r="U7" s="3113" t="s">
        <v>23</v>
      </c>
      <c r="V7" s="3113" t="s">
        <v>24</v>
      </c>
      <c r="W7" s="3171" t="s">
        <v>21</v>
      </c>
      <c r="X7" s="3172"/>
      <c r="Y7" s="3172"/>
      <c r="Z7" s="3175" t="s">
        <v>11</v>
      </c>
      <c r="AA7" s="3113" t="s">
        <v>25</v>
      </c>
      <c r="AB7" s="2755" t="s">
        <v>26</v>
      </c>
      <c r="AC7" s="2756"/>
      <c r="AD7" s="2756"/>
      <c r="AE7" s="2756"/>
      <c r="AF7" s="2756"/>
      <c r="AG7" s="2756"/>
      <c r="AH7" s="2756"/>
      <c r="AI7" s="2756"/>
      <c r="AJ7" s="2756"/>
      <c r="AK7" s="2756"/>
      <c r="AL7" s="2756"/>
      <c r="AM7" s="2757"/>
      <c r="AN7" s="2755" t="s">
        <v>27</v>
      </c>
      <c r="AO7" s="2756"/>
      <c r="AP7" s="2756"/>
      <c r="AQ7" s="2756"/>
      <c r="AR7" s="2756"/>
      <c r="AS7" s="2756"/>
      <c r="AT7" s="2756"/>
      <c r="AU7" s="2756"/>
      <c r="AV7" s="2756"/>
      <c r="AW7" s="2756"/>
      <c r="AX7" s="2756"/>
      <c r="AY7" s="2757"/>
      <c r="AZ7" s="2755" t="s">
        <v>28</v>
      </c>
      <c r="BA7" s="2756"/>
      <c r="BB7" s="2756"/>
      <c r="BC7" s="2756"/>
      <c r="BD7" s="2756"/>
      <c r="BE7" s="2757"/>
      <c r="BF7" s="3127" t="s">
        <v>29</v>
      </c>
      <c r="BG7" s="3127"/>
      <c r="BH7" s="3127" t="s">
        <v>30</v>
      </c>
      <c r="BI7" s="3127"/>
      <c r="BJ7" s="3128" t="s">
        <v>31</v>
      </c>
      <c r="BK7" s="737"/>
      <c r="BL7" s="737"/>
    </row>
    <row r="8" spans="1:64" s="738" customFormat="1" ht="33.75" customHeight="1" x14ac:dyDescent="0.25">
      <c r="A8" s="3124"/>
      <c r="B8" s="3118"/>
      <c r="C8" s="3119"/>
      <c r="D8" s="3114"/>
      <c r="E8" s="3118"/>
      <c r="F8" s="3119"/>
      <c r="G8" s="3114"/>
      <c r="H8" s="3118"/>
      <c r="I8" s="3119"/>
      <c r="J8" s="3114"/>
      <c r="K8" s="4864"/>
      <c r="L8" s="3114"/>
      <c r="M8" s="3118"/>
      <c r="N8" s="3119"/>
      <c r="O8" s="3114"/>
      <c r="P8" s="3121"/>
      <c r="Q8" s="3114"/>
      <c r="R8" s="3114"/>
      <c r="S8" s="3177"/>
      <c r="T8" s="3114"/>
      <c r="U8" s="3114"/>
      <c r="V8" s="3114"/>
      <c r="W8" s="3173"/>
      <c r="X8" s="3174"/>
      <c r="Y8" s="3174"/>
      <c r="Z8" s="3175"/>
      <c r="AA8" s="3114"/>
      <c r="AB8" s="3131" t="s">
        <v>32</v>
      </c>
      <c r="AC8" s="3132"/>
      <c r="AD8" s="3133" t="s">
        <v>33</v>
      </c>
      <c r="AE8" s="3134"/>
      <c r="AF8" s="3131" t="s">
        <v>34</v>
      </c>
      <c r="AG8" s="3132"/>
      <c r="AH8" s="3131" t="s">
        <v>35</v>
      </c>
      <c r="AI8" s="3132"/>
      <c r="AJ8" s="3131" t="s">
        <v>36</v>
      </c>
      <c r="AK8" s="3132"/>
      <c r="AL8" s="3131" t="s">
        <v>37</v>
      </c>
      <c r="AM8" s="3132"/>
      <c r="AN8" s="3131" t="s">
        <v>38</v>
      </c>
      <c r="AO8" s="3132"/>
      <c r="AP8" s="3131" t="s">
        <v>39</v>
      </c>
      <c r="AQ8" s="3132"/>
      <c r="AR8" s="3135" t="s">
        <v>40</v>
      </c>
      <c r="AS8" s="3136"/>
      <c r="AT8" s="3137" t="s">
        <v>41</v>
      </c>
      <c r="AU8" s="3137"/>
      <c r="AV8" s="3135" t="s">
        <v>42</v>
      </c>
      <c r="AW8" s="3136"/>
      <c r="AX8" s="3138" t="s">
        <v>43</v>
      </c>
      <c r="AY8" s="3138"/>
      <c r="AZ8" s="2726" t="s">
        <v>44</v>
      </c>
      <c r="BA8" s="2727" t="s">
        <v>45</v>
      </c>
      <c r="BB8" s="2726" t="s">
        <v>46</v>
      </c>
      <c r="BC8" s="2728" t="s">
        <v>47</v>
      </c>
      <c r="BD8" s="2726" t="s">
        <v>48</v>
      </c>
      <c r="BE8" s="2721" t="s">
        <v>49</v>
      </c>
      <c r="BF8" s="3127"/>
      <c r="BG8" s="3127"/>
      <c r="BH8" s="3127"/>
      <c r="BI8" s="3127"/>
      <c r="BJ8" s="3129"/>
      <c r="BK8" s="737"/>
      <c r="BL8" s="737"/>
    </row>
    <row r="9" spans="1:64" s="738" customFormat="1" ht="24.75" customHeight="1" x14ac:dyDescent="0.25">
      <c r="A9" s="3124"/>
      <c r="B9" s="3125"/>
      <c r="C9" s="3126"/>
      <c r="D9" s="3115"/>
      <c r="E9" s="3125"/>
      <c r="F9" s="3126"/>
      <c r="G9" s="3115"/>
      <c r="H9" s="3125"/>
      <c r="I9" s="3126"/>
      <c r="J9" s="3115"/>
      <c r="K9" s="4865"/>
      <c r="L9" s="3115"/>
      <c r="M9" s="2279" t="s">
        <v>296</v>
      </c>
      <c r="N9" s="1878" t="s">
        <v>51</v>
      </c>
      <c r="O9" s="3115"/>
      <c r="P9" s="3122"/>
      <c r="Q9" s="3115"/>
      <c r="R9" s="3115"/>
      <c r="S9" s="3178"/>
      <c r="T9" s="3115"/>
      <c r="U9" s="3115"/>
      <c r="V9" s="3115"/>
      <c r="W9" s="1256" t="s">
        <v>52</v>
      </c>
      <c r="X9" s="1257" t="s">
        <v>53</v>
      </c>
      <c r="Y9" s="1257" t="s">
        <v>54</v>
      </c>
      <c r="Z9" s="3175"/>
      <c r="AA9" s="3115"/>
      <c r="AB9" s="2277" t="s">
        <v>50</v>
      </c>
      <c r="AC9" s="739" t="s">
        <v>51</v>
      </c>
      <c r="AD9" s="2277" t="s">
        <v>50</v>
      </c>
      <c r="AE9" s="739" t="s">
        <v>51</v>
      </c>
      <c r="AF9" s="2277" t="s">
        <v>50</v>
      </c>
      <c r="AG9" s="739" t="s">
        <v>51</v>
      </c>
      <c r="AH9" s="2277" t="s">
        <v>50</v>
      </c>
      <c r="AI9" s="739" t="s">
        <v>51</v>
      </c>
      <c r="AJ9" s="2277" t="s">
        <v>50</v>
      </c>
      <c r="AK9" s="739" t="s">
        <v>51</v>
      </c>
      <c r="AL9" s="2277" t="s">
        <v>50</v>
      </c>
      <c r="AM9" s="739" t="s">
        <v>51</v>
      </c>
      <c r="AN9" s="2277" t="s">
        <v>50</v>
      </c>
      <c r="AO9" s="739" t="s">
        <v>51</v>
      </c>
      <c r="AP9" s="2277" t="s">
        <v>50</v>
      </c>
      <c r="AQ9" s="739" t="s">
        <v>51</v>
      </c>
      <c r="AR9" s="2280" t="s">
        <v>121</v>
      </c>
      <c r="AS9" s="740" t="s">
        <v>51</v>
      </c>
      <c r="AT9" s="2277" t="s">
        <v>50</v>
      </c>
      <c r="AU9" s="739" t="s">
        <v>51</v>
      </c>
      <c r="AV9" s="2280" t="s">
        <v>121</v>
      </c>
      <c r="AW9" s="740" t="s">
        <v>51</v>
      </c>
      <c r="AX9" s="2280" t="s">
        <v>121</v>
      </c>
      <c r="AY9" s="740" t="s">
        <v>51</v>
      </c>
      <c r="AZ9" s="2726"/>
      <c r="BA9" s="2727"/>
      <c r="BB9" s="2726"/>
      <c r="BC9" s="2728"/>
      <c r="BD9" s="2726"/>
      <c r="BE9" s="2722"/>
      <c r="BF9" s="741" t="s">
        <v>50</v>
      </c>
      <c r="BG9" s="742" t="s">
        <v>51</v>
      </c>
      <c r="BH9" s="741" t="s">
        <v>50</v>
      </c>
      <c r="BI9" s="742" t="s">
        <v>51</v>
      </c>
      <c r="BJ9" s="3130"/>
      <c r="BK9" s="737"/>
      <c r="BL9" s="737"/>
    </row>
    <row r="10" spans="1:64" s="733" customFormat="1" ht="12.75" customHeight="1" x14ac:dyDescent="0.2">
      <c r="A10" s="743">
        <v>4</v>
      </c>
      <c r="B10" s="744" t="s">
        <v>449</v>
      </c>
      <c r="C10" s="745"/>
      <c r="D10" s="745"/>
      <c r="E10" s="745"/>
      <c r="F10" s="745"/>
      <c r="G10" s="745"/>
      <c r="H10" s="745"/>
      <c r="I10" s="745"/>
      <c r="J10" s="745"/>
      <c r="K10" s="4866"/>
      <c r="L10" s="745"/>
      <c r="M10" s="745"/>
      <c r="N10" s="1879"/>
      <c r="O10" s="745"/>
      <c r="P10" s="745"/>
      <c r="Q10" s="745"/>
      <c r="R10" s="745"/>
      <c r="S10" s="745"/>
      <c r="T10" s="745"/>
      <c r="U10" s="745"/>
      <c r="V10" s="745"/>
      <c r="W10" s="745"/>
      <c r="X10" s="746"/>
      <c r="Y10" s="746"/>
      <c r="Z10" s="745"/>
      <c r="AA10" s="745"/>
      <c r="AB10" s="745"/>
      <c r="AC10" s="746"/>
      <c r="AD10" s="745"/>
      <c r="AE10" s="746"/>
      <c r="AF10" s="745"/>
      <c r="AG10" s="746"/>
      <c r="AH10" s="745"/>
      <c r="AI10" s="746"/>
      <c r="AJ10" s="745"/>
      <c r="AK10" s="746"/>
      <c r="AL10" s="745"/>
      <c r="AM10" s="746"/>
      <c r="AN10" s="745"/>
      <c r="AO10" s="746"/>
      <c r="AP10" s="745"/>
      <c r="AQ10" s="746"/>
      <c r="AR10" s="745"/>
      <c r="AS10" s="746"/>
      <c r="AT10" s="745"/>
      <c r="AU10" s="746"/>
      <c r="AV10" s="745"/>
      <c r="AW10" s="746"/>
      <c r="AX10" s="745"/>
      <c r="AY10" s="746"/>
      <c r="AZ10" s="745"/>
      <c r="BA10" s="745"/>
      <c r="BB10" s="745"/>
      <c r="BC10" s="745"/>
      <c r="BD10" s="745"/>
      <c r="BE10" s="745"/>
      <c r="BF10" s="745"/>
      <c r="BG10" s="746"/>
      <c r="BH10" s="745"/>
      <c r="BI10" s="746"/>
      <c r="BJ10" s="747"/>
    </row>
    <row r="11" spans="1:64" s="733" customFormat="1" ht="24" customHeight="1" x14ac:dyDescent="0.2">
      <c r="A11" s="3139"/>
      <c r="B11" s="3140"/>
      <c r="C11" s="3141"/>
      <c r="D11" s="748">
        <v>23</v>
      </c>
      <c r="E11" s="749" t="s">
        <v>450</v>
      </c>
      <c r="F11" s="750"/>
      <c r="G11" s="750"/>
      <c r="H11" s="750"/>
      <c r="I11" s="750"/>
      <c r="J11" s="750"/>
      <c r="K11" s="4867"/>
      <c r="L11" s="750"/>
      <c r="M11" s="750"/>
      <c r="N11" s="1880"/>
      <c r="O11" s="750"/>
      <c r="P11" s="750"/>
      <c r="Q11" s="750"/>
      <c r="R11" s="750"/>
      <c r="S11" s="750"/>
      <c r="T11" s="750"/>
      <c r="U11" s="750"/>
      <c r="V11" s="750"/>
      <c r="W11" s="750"/>
      <c r="X11" s="751"/>
      <c r="Y11" s="751"/>
      <c r="Z11" s="750"/>
      <c r="AA11" s="750"/>
      <c r="AB11" s="750"/>
      <c r="AC11" s="751"/>
      <c r="AD11" s="750"/>
      <c r="AE11" s="751"/>
      <c r="AF11" s="750"/>
      <c r="AG11" s="751"/>
      <c r="AH11" s="750"/>
      <c r="AI11" s="751"/>
      <c r="AJ11" s="750"/>
      <c r="AK11" s="751"/>
      <c r="AL11" s="750"/>
      <c r="AM11" s="751"/>
      <c r="AN11" s="750"/>
      <c r="AO11" s="751"/>
      <c r="AP11" s="750"/>
      <c r="AQ11" s="751"/>
      <c r="AR11" s="750"/>
      <c r="AS11" s="751"/>
      <c r="AT11" s="750"/>
      <c r="AU11" s="751"/>
      <c r="AV11" s="750"/>
      <c r="AW11" s="751"/>
      <c r="AX11" s="750"/>
      <c r="AY11" s="751"/>
      <c r="AZ11" s="750"/>
      <c r="BA11" s="750"/>
      <c r="BB11" s="750"/>
      <c r="BC11" s="750"/>
      <c r="BD11" s="750"/>
      <c r="BE11" s="750"/>
      <c r="BF11" s="750"/>
      <c r="BG11" s="751"/>
      <c r="BH11" s="750"/>
      <c r="BI11" s="751"/>
      <c r="BJ11" s="752"/>
    </row>
    <row r="12" spans="1:64" s="733" customFormat="1" ht="24" customHeight="1" x14ac:dyDescent="0.2">
      <c r="A12" s="3139"/>
      <c r="B12" s="3140"/>
      <c r="C12" s="3141"/>
      <c r="D12" s="3143"/>
      <c r="E12" s="3140"/>
      <c r="F12" s="3141"/>
      <c r="G12" s="753">
        <v>75</v>
      </c>
      <c r="H12" s="754" t="s">
        <v>451</v>
      </c>
      <c r="I12" s="755"/>
      <c r="J12" s="755"/>
      <c r="K12" s="4868"/>
      <c r="L12" s="755"/>
      <c r="M12" s="755"/>
      <c r="N12" s="1881"/>
      <c r="O12" s="755"/>
      <c r="P12" s="755"/>
      <c r="Q12" s="755"/>
      <c r="R12" s="755"/>
      <c r="S12" s="755"/>
      <c r="T12" s="755"/>
      <c r="U12" s="755"/>
      <c r="V12" s="755"/>
      <c r="W12" s="755"/>
      <c r="X12" s="756"/>
      <c r="Y12" s="756"/>
      <c r="Z12" s="757"/>
      <c r="AA12" s="755"/>
      <c r="AB12" s="755"/>
      <c r="AC12" s="756"/>
      <c r="AD12" s="755"/>
      <c r="AE12" s="756"/>
      <c r="AF12" s="755"/>
      <c r="AG12" s="756"/>
      <c r="AH12" s="755"/>
      <c r="AI12" s="756"/>
      <c r="AJ12" s="755"/>
      <c r="AK12" s="756"/>
      <c r="AL12" s="755"/>
      <c r="AM12" s="756"/>
      <c r="AN12" s="755"/>
      <c r="AO12" s="756"/>
      <c r="AP12" s="755"/>
      <c r="AQ12" s="756"/>
      <c r="AR12" s="755"/>
      <c r="AS12" s="756"/>
      <c r="AT12" s="755"/>
      <c r="AU12" s="756"/>
      <c r="AV12" s="755"/>
      <c r="AW12" s="756"/>
      <c r="AX12" s="755"/>
      <c r="AY12" s="756"/>
      <c r="AZ12" s="755"/>
      <c r="BA12" s="755"/>
      <c r="BB12" s="755"/>
      <c r="BC12" s="755"/>
      <c r="BD12" s="755"/>
      <c r="BE12" s="755"/>
      <c r="BF12" s="755"/>
      <c r="BG12" s="756"/>
      <c r="BH12" s="755"/>
      <c r="BI12" s="756"/>
      <c r="BJ12" s="758"/>
    </row>
    <row r="13" spans="1:64" s="761" customFormat="1" ht="78.75" customHeight="1" x14ac:dyDescent="0.2">
      <c r="A13" s="3139"/>
      <c r="B13" s="3140"/>
      <c r="C13" s="3141"/>
      <c r="D13" s="3143"/>
      <c r="E13" s="3140"/>
      <c r="F13" s="3141"/>
      <c r="G13" s="3147"/>
      <c r="H13" s="3148"/>
      <c r="I13" s="3149"/>
      <c r="J13" s="3150">
        <v>214</v>
      </c>
      <c r="K13" s="3185" t="s">
        <v>452</v>
      </c>
      <c r="L13" s="3154" t="s">
        <v>453</v>
      </c>
      <c r="M13" s="3155">
        <v>1</v>
      </c>
      <c r="N13" s="3156">
        <v>1</v>
      </c>
      <c r="O13" s="3157"/>
      <c r="P13" s="3182">
        <v>28</v>
      </c>
      <c r="Q13" s="3184" t="s">
        <v>454</v>
      </c>
      <c r="R13" s="3186">
        <f>SUM(W13:W14)/S13</f>
        <v>5.0942163395427863E-2</v>
      </c>
      <c r="S13" s="3187">
        <v>6049924915</v>
      </c>
      <c r="T13" s="3190" t="s">
        <v>455</v>
      </c>
      <c r="U13" s="3152" t="s">
        <v>456</v>
      </c>
      <c r="V13" s="2234" t="s">
        <v>457</v>
      </c>
      <c r="W13" s="1258">
        <v>10000000</v>
      </c>
      <c r="X13" s="1259">
        <v>10000000</v>
      </c>
      <c r="Y13" s="1260">
        <v>10000000</v>
      </c>
      <c r="Z13" s="2268"/>
      <c r="AA13" s="759"/>
      <c r="AB13" s="3150">
        <v>64149</v>
      </c>
      <c r="AC13" s="3179">
        <v>5162</v>
      </c>
      <c r="AD13" s="3150">
        <v>72224</v>
      </c>
      <c r="AE13" s="3179">
        <v>5812</v>
      </c>
      <c r="AF13" s="3150">
        <v>27477</v>
      </c>
      <c r="AG13" s="3179">
        <v>2211</v>
      </c>
      <c r="AH13" s="3150">
        <v>86843</v>
      </c>
      <c r="AI13" s="3179">
        <v>6988</v>
      </c>
      <c r="AJ13" s="3150">
        <v>236429</v>
      </c>
      <c r="AK13" s="3179">
        <v>19026</v>
      </c>
      <c r="AL13" s="3150">
        <v>81384</v>
      </c>
      <c r="AM13" s="3179">
        <v>6549</v>
      </c>
      <c r="AN13" s="3192"/>
      <c r="AO13" s="3195"/>
      <c r="AP13" s="3192"/>
      <c r="AQ13" s="3195"/>
      <c r="AR13" s="3192"/>
      <c r="AS13" s="3195"/>
      <c r="AT13" s="3192"/>
      <c r="AU13" s="3195"/>
      <c r="AV13" s="3192"/>
      <c r="AW13" s="3195"/>
      <c r="AX13" s="3192"/>
      <c r="AY13" s="3195"/>
      <c r="AZ13" s="3192">
        <v>23</v>
      </c>
      <c r="BA13" s="3204">
        <f>SUM(X13:$X$25)</f>
        <v>486801995</v>
      </c>
      <c r="BB13" s="3204">
        <f>SUM(Y13:$Y$25)</f>
        <v>463825365</v>
      </c>
      <c r="BC13" s="3207">
        <f>BB13/BA13</f>
        <v>0.9528008713275713</v>
      </c>
      <c r="BD13" s="3210" t="s">
        <v>458</v>
      </c>
      <c r="BE13" s="3192" t="s">
        <v>459</v>
      </c>
      <c r="BF13" s="760">
        <v>42592</v>
      </c>
      <c r="BG13" s="760">
        <v>42593</v>
      </c>
      <c r="BH13" s="760">
        <v>42719</v>
      </c>
      <c r="BI13" s="760">
        <v>42720</v>
      </c>
      <c r="BJ13" s="3198" t="s">
        <v>460</v>
      </c>
    </row>
    <row r="14" spans="1:64" s="761" customFormat="1" ht="81" customHeight="1" x14ac:dyDescent="0.2">
      <c r="A14" s="3139"/>
      <c r="B14" s="3140"/>
      <c r="C14" s="3141"/>
      <c r="D14" s="3143"/>
      <c r="E14" s="3140"/>
      <c r="F14" s="3141"/>
      <c r="G14" s="3143"/>
      <c r="H14" s="3140"/>
      <c r="I14" s="3141"/>
      <c r="J14" s="3151"/>
      <c r="K14" s="3301"/>
      <c r="L14" s="3154"/>
      <c r="M14" s="3155"/>
      <c r="N14" s="3156"/>
      <c r="O14" s="3158"/>
      <c r="P14" s="3183"/>
      <c r="Q14" s="3184"/>
      <c r="R14" s="3186"/>
      <c r="S14" s="3188"/>
      <c r="T14" s="3190"/>
      <c r="U14" s="3191"/>
      <c r="V14" s="2234" t="s">
        <v>461</v>
      </c>
      <c r="W14" s="1258">
        <v>298196263.55000001</v>
      </c>
      <c r="X14" s="1259">
        <v>14117720</v>
      </c>
      <c r="Y14" s="1260">
        <v>14117720</v>
      </c>
      <c r="Z14" s="2273"/>
      <c r="AA14" s="762"/>
      <c r="AB14" s="3160"/>
      <c r="AC14" s="3180"/>
      <c r="AD14" s="3160"/>
      <c r="AE14" s="3180"/>
      <c r="AF14" s="3160"/>
      <c r="AG14" s="3180"/>
      <c r="AH14" s="3160"/>
      <c r="AI14" s="3180"/>
      <c r="AJ14" s="3160"/>
      <c r="AK14" s="3180"/>
      <c r="AL14" s="3160"/>
      <c r="AM14" s="3180"/>
      <c r="AN14" s="3193"/>
      <c r="AO14" s="3196"/>
      <c r="AP14" s="3193"/>
      <c r="AQ14" s="3196"/>
      <c r="AR14" s="3193"/>
      <c r="AS14" s="3196"/>
      <c r="AT14" s="3193"/>
      <c r="AU14" s="3196"/>
      <c r="AV14" s="3193"/>
      <c r="AW14" s="3196"/>
      <c r="AX14" s="3193"/>
      <c r="AY14" s="3196"/>
      <c r="AZ14" s="3193"/>
      <c r="BA14" s="3205"/>
      <c r="BB14" s="3205"/>
      <c r="BC14" s="3208"/>
      <c r="BD14" s="3211"/>
      <c r="BE14" s="3193"/>
      <c r="BF14" s="760">
        <v>42628</v>
      </c>
      <c r="BG14" s="760">
        <v>42629</v>
      </c>
      <c r="BH14" s="760">
        <v>42724</v>
      </c>
      <c r="BI14" s="760">
        <v>42725</v>
      </c>
      <c r="BJ14" s="3199"/>
    </row>
    <row r="15" spans="1:64" s="761" customFormat="1" ht="117.75" customHeight="1" x14ac:dyDescent="0.2">
      <c r="A15" s="3139"/>
      <c r="B15" s="3140"/>
      <c r="C15" s="3141"/>
      <c r="D15" s="3143"/>
      <c r="E15" s="3140"/>
      <c r="F15" s="3141"/>
      <c r="G15" s="3143"/>
      <c r="H15" s="3140"/>
      <c r="I15" s="3141"/>
      <c r="J15" s="763">
        <v>215</v>
      </c>
      <c r="K15" s="4869" t="s">
        <v>462</v>
      </c>
      <c r="L15" s="2278" t="s">
        <v>453</v>
      </c>
      <c r="M15" s="2275">
        <v>2</v>
      </c>
      <c r="N15" s="2247">
        <v>2</v>
      </c>
      <c r="O15" s="3158"/>
      <c r="P15" s="3183"/>
      <c r="Q15" s="3184"/>
      <c r="R15" s="1283">
        <f>W15/S13</f>
        <v>3.3058261517283642E-3</v>
      </c>
      <c r="S15" s="3188"/>
      <c r="T15" s="3190"/>
      <c r="U15" s="3191"/>
      <c r="V15" s="2234" t="s">
        <v>463</v>
      </c>
      <c r="W15" s="1258">
        <v>20000000</v>
      </c>
      <c r="X15" s="1259">
        <v>20000000</v>
      </c>
      <c r="Y15" s="1260">
        <v>20000000</v>
      </c>
      <c r="Z15" s="2273"/>
      <c r="AA15" s="762"/>
      <c r="AB15" s="3160"/>
      <c r="AC15" s="3180"/>
      <c r="AD15" s="3160"/>
      <c r="AE15" s="3180"/>
      <c r="AF15" s="3160"/>
      <c r="AG15" s="3180"/>
      <c r="AH15" s="3160"/>
      <c r="AI15" s="3180"/>
      <c r="AJ15" s="3160"/>
      <c r="AK15" s="3180"/>
      <c r="AL15" s="3160"/>
      <c r="AM15" s="3180"/>
      <c r="AN15" s="3193"/>
      <c r="AO15" s="3196"/>
      <c r="AP15" s="3193"/>
      <c r="AQ15" s="3196"/>
      <c r="AR15" s="3193"/>
      <c r="AS15" s="3196"/>
      <c r="AT15" s="3193"/>
      <c r="AU15" s="3196"/>
      <c r="AV15" s="3193"/>
      <c r="AW15" s="3196"/>
      <c r="AX15" s="3193"/>
      <c r="AY15" s="3196"/>
      <c r="AZ15" s="3193"/>
      <c r="BA15" s="3205"/>
      <c r="BB15" s="3205"/>
      <c r="BC15" s="3208"/>
      <c r="BD15" s="3211"/>
      <c r="BE15" s="3193"/>
      <c r="BF15" s="760">
        <v>42592</v>
      </c>
      <c r="BG15" s="760">
        <v>42593</v>
      </c>
      <c r="BH15" s="760">
        <v>42719</v>
      </c>
      <c r="BI15" s="760">
        <v>42720</v>
      </c>
      <c r="BJ15" s="3199"/>
    </row>
    <row r="16" spans="1:64" s="761" customFormat="1" ht="117.75" customHeight="1" x14ac:dyDescent="0.2">
      <c r="A16" s="3139"/>
      <c r="B16" s="3140"/>
      <c r="C16" s="3141"/>
      <c r="D16" s="3143"/>
      <c r="E16" s="3140"/>
      <c r="F16" s="3141"/>
      <c r="G16" s="3143"/>
      <c r="H16" s="3140"/>
      <c r="I16" s="3141"/>
      <c r="J16" s="3150">
        <v>216</v>
      </c>
      <c r="K16" s="3185" t="s">
        <v>464</v>
      </c>
      <c r="L16" s="3161" t="s">
        <v>453</v>
      </c>
      <c r="M16" s="3162">
        <v>1</v>
      </c>
      <c r="N16" s="3201">
        <v>6.0000000000000001E-3</v>
      </c>
      <c r="O16" s="2231"/>
      <c r="P16" s="3183"/>
      <c r="Q16" s="3184"/>
      <c r="R16" s="3098">
        <f>(W16+W17)/S13</f>
        <v>0.50165291315850979</v>
      </c>
      <c r="S16" s="3188"/>
      <c r="T16" s="3190"/>
      <c r="U16" s="3191"/>
      <c r="V16" s="2234" t="s">
        <v>465</v>
      </c>
      <c r="W16" s="1258">
        <v>50000000</v>
      </c>
      <c r="X16" s="1259">
        <v>0</v>
      </c>
      <c r="Y16" s="1260">
        <v>0</v>
      </c>
      <c r="Z16" s="2273"/>
      <c r="AA16" s="762"/>
      <c r="AB16" s="3160"/>
      <c r="AC16" s="3180"/>
      <c r="AD16" s="3160"/>
      <c r="AE16" s="3180"/>
      <c r="AF16" s="3160"/>
      <c r="AG16" s="3180"/>
      <c r="AH16" s="3160"/>
      <c r="AI16" s="3180"/>
      <c r="AJ16" s="3160"/>
      <c r="AK16" s="3180"/>
      <c r="AL16" s="3160"/>
      <c r="AM16" s="3180"/>
      <c r="AN16" s="3193"/>
      <c r="AO16" s="3196"/>
      <c r="AP16" s="3193"/>
      <c r="AQ16" s="3196"/>
      <c r="AR16" s="3193"/>
      <c r="AS16" s="3196"/>
      <c r="AT16" s="3193"/>
      <c r="AU16" s="3196"/>
      <c r="AV16" s="3193"/>
      <c r="AW16" s="3196"/>
      <c r="AX16" s="3193"/>
      <c r="AY16" s="3196"/>
      <c r="AZ16" s="3193"/>
      <c r="BA16" s="3205"/>
      <c r="BB16" s="3205"/>
      <c r="BC16" s="3208"/>
      <c r="BD16" s="3211"/>
      <c r="BE16" s="3193"/>
      <c r="BF16" s="760"/>
      <c r="BG16" s="764"/>
      <c r="BH16" s="760"/>
      <c r="BI16" s="764"/>
      <c r="BJ16" s="3199"/>
    </row>
    <row r="17" spans="1:62" s="761" customFormat="1" ht="78.75" customHeight="1" x14ac:dyDescent="0.2">
      <c r="A17" s="3139"/>
      <c r="B17" s="3140"/>
      <c r="C17" s="3141"/>
      <c r="D17" s="3143"/>
      <c r="E17" s="3140"/>
      <c r="F17" s="3141"/>
      <c r="G17" s="3143"/>
      <c r="H17" s="3140"/>
      <c r="I17" s="3141"/>
      <c r="J17" s="3151"/>
      <c r="K17" s="3301"/>
      <c r="L17" s="3165"/>
      <c r="M17" s="3168"/>
      <c r="N17" s="3202"/>
      <c r="O17" s="765" t="s">
        <v>466</v>
      </c>
      <c r="P17" s="3183"/>
      <c r="Q17" s="3184"/>
      <c r="R17" s="3099"/>
      <c r="S17" s="3188"/>
      <c r="T17" s="3190"/>
      <c r="U17" s="3191"/>
      <c r="V17" s="2234" t="s">
        <v>467</v>
      </c>
      <c r="W17" s="2270">
        <f>2981962636+2999822</f>
        <v>2984962458</v>
      </c>
      <c r="X17" s="1259">
        <v>19116666</v>
      </c>
      <c r="Y17" s="1260">
        <v>19116666</v>
      </c>
      <c r="Z17" s="2237">
        <v>20</v>
      </c>
      <c r="AA17" s="762" t="s">
        <v>130</v>
      </c>
      <c r="AB17" s="3160"/>
      <c r="AC17" s="3180"/>
      <c r="AD17" s="3160"/>
      <c r="AE17" s="3180"/>
      <c r="AF17" s="3160"/>
      <c r="AG17" s="3180"/>
      <c r="AH17" s="3160"/>
      <c r="AI17" s="3180"/>
      <c r="AJ17" s="3160"/>
      <c r="AK17" s="3180"/>
      <c r="AL17" s="3160"/>
      <c r="AM17" s="3180"/>
      <c r="AN17" s="3193"/>
      <c r="AO17" s="3196"/>
      <c r="AP17" s="3193"/>
      <c r="AQ17" s="3196"/>
      <c r="AR17" s="3193"/>
      <c r="AS17" s="3196"/>
      <c r="AT17" s="3193"/>
      <c r="AU17" s="3196"/>
      <c r="AV17" s="3193"/>
      <c r="AW17" s="3196"/>
      <c r="AX17" s="3193"/>
      <c r="AY17" s="3196"/>
      <c r="AZ17" s="3193"/>
      <c r="BA17" s="3205"/>
      <c r="BB17" s="3205"/>
      <c r="BC17" s="3208"/>
      <c r="BD17" s="3211"/>
      <c r="BE17" s="3193"/>
      <c r="BF17" s="760">
        <v>42628</v>
      </c>
      <c r="BG17" s="764">
        <v>42592</v>
      </c>
      <c r="BH17" s="760">
        <v>42724</v>
      </c>
      <c r="BI17" s="764">
        <v>42724</v>
      </c>
      <c r="BJ17" s="3199"/>
    </row>
    <row r="18" spans="1:62" s="761" customFormat="1" ht="114" customHeight="1" x14ac:dyDescent="0.2">
      <c r="A18" s="3139"/>
      <c r="B18" s="3140"/>
      <c r="C18" s="3141"/>
      <c r="D18" s="3143"/>
      <c r="E18" s="3140"/>
      <c r="F18" s="3141"/>
      <c r="G18" s="3143"/>
      <c r="H18" s="3140"/>
      <c r="I18" s="3141"/>
      <c r="J18" s="3150">
        <v>217</v>
      </c>
      <c r="K18" s="3185" t="s">
        <v>468</v>
      </c>
      <c r="L18" s="3161" t="s">
        <v>453</v>
      </c>
      <c r="M18" s="3155">
        <v>5</v>
      </c>
      <c r="N18" s="3156">
        <v>4</v>
      </c>
      <c r="O18" s="765" t="s">
        <v>469</v>
      </c>
      <c r="P18" s="3183"/>
      <c r="Q18" s="3184"/>
      <c r="R18" s="3186">
        <f>SUM(W18:W23)/S13</f>
        <v>0.29623134641828858</v>
      </c>
      <c r="S18" s="3188"/>
      <c r="T18" s="3190"/>
      <c r="U18" s="3191"/>
      <c r="V18" s="767" t="s">
        <v>470</v>
      </c>
      <c r="W18" s="2270">
        <v>16500000</v>
      </c>
      <c r="X18" s="1261">
        <f>7200000+5183333</f>
        <v>12383333</v>
      </c>
      <c r="Y18" s="1262">
        <f>7200000+5183333</f>
        <v>12383333</v>
      </c>
      <c r="Z18" s="2235">
        <v>42</v>
      </c>
      <c r="AA18" s="768" t="s">
        <v>471</v>
      </c>
      <c r="AB18" s="3160"/>
      <c r="AC18" s="3180"/>
      <c r="AD18" s="3160"/>
      <c r="AE18" s="3180"/>
      <c r="AF18" s="3160"/>
      <c r="AG18" s="3180"/>
      <c r="AH18" s="3160"/>
      <c r="AI18" s="3180"/>
      <c r="AJ18" s="3160"/>
      <c r="AK18" s="3180"/>
      <c r="AL18" s="3160"/>
      <c r="AM18" s="3180"/>
      <c r="AN18" s="3193"/>
      <c r="AO18" s="3196"/>
      <c r="AP18" s="3193"/>
      <c r="AQ18" s="3196"/>
      <c r="AR18" s="3193"/>
      <c r="AS18" s="3196"/>
      <c r="AT18" s="3193"/>
      <c r="AU18" s="3196"/>
      <c r="AV18" s="3193"/>
      <c r="AW18" s="3196"/>
      <c r="AX18" s="3193"/>
      <c r="AY18" s="3196"/>
      <c r="AZ18" s="3193"/>
      <c r="BA18" s="3205"/>
      <c r="BB18" s="3205"/>
      <c r="BC18" s="3208"/>
      <c r="BD18" s="3211"/>
      <c r="BE18" s="3193"/>
      <c r="BF18" s="760">
        <v>42592</v>
      </c>
      <c r="BG18" s="764">
        <v>42592</v>
      </c>
      <c r="BH18" s="760">
        <v>42719</v>
      </c>
      <c r="BI18" s="769">
        <v>42724</v>
      </c>
      <c r="BJ18" s="3199"/>
    </row>
    <row r="19" spans="1:62" s="761" customFormat="1" ht="120.75" customHeight="1" x14ac:dyDescent="0.2">
      <c r="A19" s="3139"/>
      <c r="B19" s="3140"/>
      <c r="C19" s="3141"/>
      <c r="D19" s="3143"/>
      <c r="E19" s="3140"/>
      <c r="F19" s="3141"/>
      <c r="G19" s="3143"/>
      <c r="H19" s="3140"/>
      <c r="I19" s="3141"/>
      <c r="J19" s="3160"/>
      <c r="K19" s="3300"/>
      <c r="L19" s="3203"/>
      <c r="M19" s="3155"/>
      <c r="N19" s="3156"/>
      <c r="O19" s="765" t="s">
        <v>472</v>
      </c>
      <c r="P19" s="3183"/>
      <c r="Q19" s="3184"/>
      <c r="R19" s="3186"/>
      <c r="S19" s="3188"/>
      <c r="T19" s="3190"/>
      <c r="U19" s="3191"/>
      <c r="V19" s="767" t="s">
        <v>473</v>
      </c>
      <c r="W19" s="2270">
        <v>12500000</v>
      </c>
      <c r="X19" s="1261">
        <v>4000000</v>
      </c>
      <c r="Y19" s="1262">
        <v>4000000</v>
      </c>
      <c r="Z19" s="2235">
        <v>92</v>
      </c>
      <c r="AA19" s="768" t="s">
        <v>474</v>
      </c>
      <c r="AB19" s="3160"/>
      <c r="AC19" s="3180"/>
      <c r="AD19" s="3160"/>
      <c r="AE19" s="3180"/>
      <c r="AF19" s="3160"/>
      <c r="AG19" s="3180"/>
      <c r="AH19" s="3160"/>
      <c r="AI19" s="3180"/>
      <c r="AJ19" s="3160"/>
      <c r="AK19" s="3180"/>
      <c r="AL19" s="3160"/>
      <c r="AM19" s="3180"/>
      <c r="AN19" s="3193"/>
      <c r="AO19" s="3196"/>
      <c r="AP19" s="3193"/>
      <c r="AQ19" s="3196"/>
      <c r="AR19" s="3193"/>
      <c r="AS19" s="3196"/>
      <c r="AT19" s="3193"/>
      <c r="AU19" s="3196"/>
      <c r="AV19" s="3193"/>
      <c r="AW19" s="3196"/>
      <c r="AX19" s="3193"/>
      <c r="AY19" s="3196"/>
      <c r="AZ19" s="3193"/>
      <c r="BA19" s="3205"/>
      <c r="BB19" s="3205"/>
      <c r="BC19" s="3208"/>
      <c r="BD19" s="3211"/>
      <c r="BE19" s="3193"/>
      <c r="BF19" s="760">
        <v>42592</v>
      </c>
      <c r="BG19" s="764">
        <v>42592</v>
      </c>
      <c r="BH19" s="760">
        <v>42719</v>
      </c>
      <c r="BI19" s="769">
        <v>42724</v>
      </c>
      <c r="BJ19" s="3199"/>
    </row>
    <row r="20" spans="1:62" s="761" customFormat="1" ht="71.25" x14ac:dyDescent="0.2">
      <c r="A20" s="3139"/>
      <c r="B20" s="3140"/>
      <c r="C20" s="3141"/>
      <c r="D20" s="3143"/>
      <c r="E20" s="3140"/>
      <c r="F20" s="3141"/>
      <c r="G20" s="3143"/>
      <c r="H20" s="3140"/>
      <c r="I20" s="3141"/>
      <c r="J20" s="3160"/>
      <c r="K20" s="3300"/>
      <c r="L20" s="3203"/>
      <c r="M20" s="3155"/>
      <c r="N20" s="3156"/>
      <c r="O20" s="3158"/>
      <c r="P20" s="3183"/>
      <c r="Q20" s="3184"/>
      <c r="R20" s="3186"/>
      <c r="S20" s="3188"/>
      <c r="T20" s="3190"/>
      <c r="U20" s="3191"/>
      <c r="V20" s="770" t="s">
        <v>475</v>
      </c>
      <c r="W20" s="2270">
        <v>12500000</v>
      </c>
      <c r="X20" s="1261">
        <v>4458333</v>
      </c>
      <c r="Y20" s="1262">
        <v>4458333</v>
      </c>
      <c r="Z20" s="2233"/>
      <c r="AA20" s="768"/>
      <c r="AB20" s="3160"/>
      <c r="AC20" s="3180"/>
      <c r="AD20" s="3160"/>
      <c r="AE20" s="3180"/>
      <c r="AF20" s="3160"/>
      <c r="AG20" s="3180"/>
      <c r="AH20" s="3160"/>
      <c r="AI20" s="3180"/>
      <c r="AJ20" s="3160"/>
      <c r="AK20" s="3180"/>
      <c r="AL20" s="3160"/>
      <c r="AM20" s="3180"/>
      <c r="AN20" s="3193"/>
      <c r="AO20" s="3196"/>
      <c r="AP20" s="3193"/>
      <c r="AQ20" s="3196"/>
      <c r="AR20" s="3193"/>
      <c r="AS20" s="3196"/>
      <c r="AT20" s="3193"/>
      <c r="AU20" s="3196"/>
      <c r="AV20" s="3193"/>
      <c r="AW20" s="3196"/>
      <c r="AX20" s="3193"/>
      <c r="AY20" s="3196"/>
      <c r="AZ20" s="3193"/>
      <c r="BA20" s="3205"/>
      <c r="BB20" s="3205"/>
      <c r="BC20" s="3208"/>
      <c r="BD20" s="3211"/>
      <c r="BE20" s="3193"/>
      <c r="BF20" s="771">
        <v>42592</v>
      </c>
      <c r="BG20" s="772">
        <v>42592</v>
      </c>
      <c r="BH20" s="771">
        <v>42719</v>
      </c>
      <c r="BI20" s="773">
        <v>42724</v>
      </c>
      <c r="BJ20" s="3199"/>
    </row>
    <row r="21" spans="1:62" s="761" customFormat="1" ht="78.75" customHeight="1" x14ac:dyDescent="0.2">
      <c r="A21" s="3139"/>
      <c r="B21" s="3140"/>
      <c r="C21" s="3141"/>
      <c r="D21" s="3143"/>
      <c r="E21" s="3140"/>
      <c r="F21" s="3141"/>
      <c r="G21" s="3143"/>
      <c r="H21" s="3140"/>
      <c r="I21" s="3141"/>
      <c r="J21" s="3160"/>
      <c r="K21" s="3300"/>
      <c r="L21" s="3203"/>
      <c r="M21" s="3155"/>
      <c r="N21" s="3156"/>
      <c r="O21" s="3158"/>
      <c r="P21" s="3183"/>
      <c r="Q21" s="3184"/>
      <c r="R21" s="3186"/>
      <c r="S21" s="3188"/>
      <c r="T21" s="3190"/>
      <c r="U21" s="3191"/>
      <c r="V21" s="770" t="s">
        <v>476</v>
      </c>
      <c r="W21" s="1263">
        <v>36000000</v>
      </c>
      <c r="X21" s="1261">
        <f>3458333+4350000+19040000+8000000</f>
        <v>34848333</v>
      </c>
      <c r="Y21" s="1262">
        <f>3458333+4350000+19040000+8000000</f>
        <v>34848333</v>
      </c>
      <c r="Z21" s="2233"/>
      <c r="AA21" s="768"/>
      <c r="AB21" s="3160"/>
      <c r="AC21" s="3180"/>
      <c r="AD21" s="3160"/>
      <c r="AE21" s="3180"/>
      <c r="AF21" s="3160"/>
      <c r="AG21" s="3180"/>
      <c r="AH21" s="3160"/>
      <c r="AI21" s="3180"/>
      <c r="AJ21" s="3160"/>
      <c r="AK21" s="3180"/>
      <c r="AL21" s="3160"/>
      <c r="AM21" s="3180"/>
      <c r="AN21" s="3193"/>
      <c r="AO21" s="3196"/>
      <c r="AP21" s="3193"/>
      <c r="AQ21" s="3196"/>
      <c r="AR21" s="3193"/>
      <c r="AS21" s="3196"/>
      <c r="AT21" s="3193"/>
      <c r="AU21" s="3196"/>
      <c r="AV21" s="3193"/>
      <c r="AW21" s="3196"/>
      <c r="AX21" s="3193"/>
      <c r="AY21" s="3196"/>
      <c r="AZ21" s="3193"/>
      <c r="BA21" s="3205"/>
      <c r="BB21" s="3205"/>
      <c r="BC21" s="3208"/>
      <c r="BD21" s="3211"/>
      <c r="BE21" s="3193"/>
      <c r="BF21" s="771">
        <v>42628</v>
      </c>
      <c r="BG21" s="772">
        <v>42628</v>
      </c>
      <c r="BH21" s="771">
        <v>42724</v>
      </c>
      <c r="BI21" s="773">
        <v>42722</v>
      </c>
      <c r="BJ21" s="3199"/>
    </row>
    <row r="22" spans="1:62" s="761" customFormat="1" ht="110.25" customHeight="1" x14ac:dyDescent="0.2">
      <c r="A22" s="3139"/>
      <c r="B22" s="3140"/>
      <c r="C22" s="3141"/>
      <c r="D22" s="3143"/>
      <c r="E22" s="3140"/>
      <c r="F22" s="3141"/>
      <c r="G22" s="3143"/>
      <c r="H22" s="3140"/>
      <c r="I22" s="3141"/>
      <c r="J22" s="3160"/>
      <c r="K22" s="3300"/>
      <c r="L22" s="3203"/>
      <c r="M22" s="3155"/>
      <c r="N22" s="3156"/>
      <c r="O22" s="3158"/>
      <c r="P22" s="3183"/>
      <c r="Q22" s="3184"/>
      <c r="R22" s="3186"/>
      <c r="S22" s="3188"/>
      <c r="T22" s="3190"/>
      <c r="U22" s="3191"/>
      <c r="V22" s="770" t="s">
        <v>477</v>
      </c>
      <c r="W22" s="1263">
        <v>1009873845</v>
      </c>
      <c r="X22" s="1261">
        <f>112419928+7252464</f>
        <v>119672392</v>
      </c>
      <c r="Y22" s="1262">
        <f>112419928+7252464</f>
        <v>119672392</v>
      </c>
      <c r="Z22" s="2233"/>
      <c r="AA22" s="768"/>
      <c r="AB22" s="3160"/>
      <c r="AC22" s="3180"/>
      <c r="AD22" s="3160"/>
      <c r="AE22" s="3180"/>
      <c r="AF22" s="3160"/>
      <c r="AG22" s="3180"/>
      <c r="AH22" s="3160"/>
      <c r="AI22" s="3180"/>
      <c r="AJ22" s="3160"/>
      <c r="AK22" s="3180"/>
      <c r="AL22" s="3160"/>
      <c r="AM22" s="3180"/>
      <c r="AN22" s="3193"/>
      <c r="AO22" s="3196"/>
      <c r="AP22" s="3193"/>
      <c r="AQ22" s="3196"/>
      <c r="AR22" s="3193"/>
      <c r="AS22" s="3196"/>
      <c r="AT22" s="3193"/>
      <c r="AU22" s="3196"/>
      <c r="AV22" s="3193"/>
      <c r="AW22" s="3196"/>
      <c r="AX22" s="3193"/>
      <c r="AY22" s="3196"/>
      <c r="AZ22" s="3193"/>
      <c r="BA22" s="3205"/>
      <c r="BB22" s="3205"/>
      <c r="BC22" s="3208"/>
      <c r="BD22" s="3211"/>
      <c r="BE22" s="3193"/>
      <c r="BF22" s="771">
        <v>42628</v>
      </c>
      <c r="BG22" s="771">
        <v>42629</v>
      </c>
      <c r="BH22" s="771">
        <v>42724</v>
      </c>
      <c r="BI22" s="771">
        <v>42725</v>
      </c>
      <c r="BJ22" s="3199"/>
    </row>
    <row r="23" spans="1:62" s="761" customFormat="1" ht="70.5" customHeight="1" x14ac:dyDescent="0.2">
      <c r="A23" s="3139"/>
      <c r="B23" s="3140"/>
      <c r="C23" s="3141"/>
      <c r="D23" s="3143"/>
      <c r="E23" s="3140"/>
      <c r="F23" s="3141"/>
      <c r="G23" s="3143"/>
      <c r="H23" s="3140"/>
      <c r="I23" s="3141"/>
      <c r="J23" s="3151"/>
      <c r="K23" s="3301"/>
      <c r="L23" s="3165"/>
      <c r="M23" s="3155"/>
      <c r="N23" s="3156"/>
      <c r="O23" s="3158"/>
      <c r="P23" s="3183"/>
      <c r="Q23" s="3184"/>
      <c r="R23" s="3186"/>
      <c r="S23" s="3188"/>
      <c r="T23" s="3190"/>
      <c r="U23" s="3191"/>
      <c r="V23" s="767" t="s">
        <v>461</v>
      </c>
      <c r="W23" s="2270">
        <f>701803736.3+2999822</f>
        <v>704803558.29999995</v>
      </c>
      <c r="X23" s="1261">
        <f>70000000+13965514+4926420+19590400+64539551</f>
        <v>173021885</v>
      </c>
      <c r="Y23" s="1264">
        <f>47023370+13965514+4926420+19590400+64539551</f>
        <v>150045255</v>
      </c>
      <c r="Z23" s="2233"/>
      <c r="AA23" s="768"/>
      <c r="AB23" s="3160"/>
      <c r="AC23" s="3180"/>
      <c r="AD23" s="3160"/>
      <c r="AE23" s="3180"/>
      <c r="AF23" s="3160"/>
      <c r="AG23" s="3180"/>
      <c r="AH23" s="3160"/>
      <c r="AI23" s="3180"/>
      <c r="AJ23" s="3160"/>
      <c r="AK23" s="3180"/>
      <c r="AL23" s="3160"/>
      <c r="AM23" s="3180"/>
      <c r="AN23" s="3193"/>
      <c r="AO23" s="3196"/>
      <c r="AP23" s="3193"/>
      <c r="AQ23" s="3196"/>
      <c r="AR23" s="3193"/>
      <c r="AS23" s="3196"/>
      <c r="AT23" s="3193"/>
      <c r="AU23" s="3196"/>
      <c r="AV23" s="3193"/>
      <c r="AW23" s="3196"/>
      <c r="AX23" s="3193"/>
      <c r="AY23" s="3196"/>
      <c r="AZ23" s="3193"/>
      <c r="BA23" s="3205"/>
      <c r="BB23" s="3205"/>
      <c r="BC23" s="3208"/>
      <c r="BD23" s="3211"/>
      <c r="BE23" s="3193"/>
      <c r="BF23" s="771">
        <v>42628</v>
      </c>
      <c r="BG23" s="772">
        <v>42642</v>
      </c>
      <c r="BH23" s="771">
        <v>42724</v>
      </c>
      <c r="BI23" s="773">
        <v>42724</v>
      </c>
      <c r="BJ23" s="3199"/>
    </row>
    <row r="24" spans="1:62" s="761" customFormat="1" ht="92.25" customHeight="1" x14ac:dyDescent="0.2">
      <c r="A24" s="3139"/>
      <c r="B24" s="3140"/>
      <c r="C24" s="3141"/>
      <c r="D24" s="3143"/>
      <c r="E24" s="3140"/>
      <c r="F24" s="3141"/>
      <c r="G24" s="3143"/>
      <c r="H24" s="3140"/>
      <c r="I24" s="3141"/>
      <c r="J24" s="3150">
        <v>218</v>
      </c>
      <c r="K24" s="3185" t="s">
        <v>478</v>
      </c>
      <c r="L24" s="3154" t="s">
        <v>453</v>
      </c>
      <c r="M24" s="3155">
        <v>3</v>
      </c>
      <c r="N24" s="3163">
        <v>2</v>
      </c>
      <c r="O24" s="3158"/>
      <c r="P24" s="3183"/>
      <c r="Q24" s="3184"/>
      <c r="R24" s="3186">
        <f>SUM(W24:W25)/S13</f>
        <v>0.14786775085125167</v>
      </c>
      <c r="S24" s="3188"/>
      <c r="T24" s="3190"/>
      <c r="U24" s="3191"/>
      <c r="V24" s="2269" t="s">
        <v>479</v>
      </c>
      <c r="W24" s="2270">
        <v>12500000</v>
      </c>
      <c r="X24" s="1261">
        <v>5183333</v>
      </c>
      <c r="Y24" s="1262">
        <v>5183333</v>
      </c>
      <c r="Z24" s="2233"/>
      <c r="AA24" s="768"/>
      <c r="AB24" s="3160"/>
      <c r="AC24" s="3180"/>
      <c r="AD24" s="3160"/>
      <c r="AE24" s="3180"/>
      <c r="AF24" s="3160"/>
      <c r="AG24" s="3180"/>
      <c r="AH24" s="3160"/>
      <c r="AI24" s="3180"/>
      <c r="AJ24" s="3160"/>
      <c r="AK24" s="3180"/>
      <c r="AL24" s="3160"/>
      <c r="AM24" s="3180"/>
      <c r="AN24" s="3193"/>
      <c r="AO24" s="3196"/>
      <c r="AP24" s="3193"/>
      <c r="AQ24" s="3196"/>
      <c r="AR24" s="3193"/>
      <c r="AS24" s="3196"/>
      <c r="AT24" s="3193"/>
      <c r="AU24" s="3196"/>
      <c r="AV24" s="3193"/>
      <c r="AW24" s="3196"/>
      <c r="AX24" s="3193"/>
      <c r="AY24" s="3196"/>
      <c r="AZ24" s="3193"/>
      <c r="BA24" s="3205"/>
      <c r="BB24" s="3205"/>
      <c r="BC24" s="3208"/>
      <c r="BD24" s="3211"/>
      <c r="BE24" s="3193"/>
      <c r="BF24" s="771">
        <v>42592</v>
      </c>
      <c r="BG24" s="772">
        <v>42592</v>
      </c>
      <c r="BH24" s="771">
        <v>42719</v>
      </c>
      <c r="BI24" s="773">
        <v>42724</v>
      </c>
      <c r="BJ24" s="3199"/>
    </row>
    <row r="25" spans="1:62" s="761" customFormat="1" ht="104.25" customHeight="1" x14ac:dyDescent="0.2">
      <c r="A25" s="3139"/>
      <c r="B25" s="3140"/>
      <c r="C25" s="3141"/>
      <c r="D25" s="3143"/>
      <c r="E25" s="3140"/>
      <c r="F25" s="3141"/>
      <c r="G25" s="3144"/>
      <c r="H25" s="3140"/>
      <c r="I25" s="3141"/>
      <c r="J25" s="3160"/>
      <c r="K25" s="3300"/>
      <c r="L25" s="3161"/>
      <c r="M25" s="3162"/>
      <c r="N25" s="3164"/>
      <c r="O25" s="3159"/>
      <c r="P25" s="3183"/>
      <c r="Q25" s="3185"/>
      <c r="R25" s="3098"/>
      <c r="S25" s="3189"/>
      <c r="T25" s="3152"/>
      <c r="U25" s="3191"/>
      <c r="V25" s="2248" t="s">
        <v>480</v>
      </c>
      <c r="W25" s="1281">
        <v>882088790</v>
      </c>
      <c r="X25" s="1265">
        <v>70000000</v>
      </c>
      <c r="Y25" s="1266">
        <v>70000000</v>
      </c>
      <c r="Z25" s="2273"/>
      <c r="AA25" s="768"/>
      <c r="AB25" s="3160"/>
      <c r="AC25" s="3181"/>
      <c r="AD25" s="3160"/>
      <c r="AE25" s="3181"/>
      <c r="AF25" s="3160"/>
      <c r="AG25" s="3181"/>
      <c r="AH25" s="3160"/>
      <c r="AI25" s="3181"/>
      <c r="AJ25" s="3160"/>
      <c r="AK25" s="3181"/>
      <c r="AL25" s="3160"/>
      <c r="AM25" s="3181"/>
      <c r="AN25" s="3194"/>
      <c r="AO25" s="3197"/>
      <c r="AP25" s="3194"/>
      <c r="AQ25" s="3197"/>
      <c r="AR25" s="3194"/>
      <c r="AS25" s="3197"/>
      <c r="AT25" s="3194"/>
      <c r="AU25" s="3197"/>
      <c r="AV25" s="3194"/>
      <c r="AW25" s="3197"/>
      <c r="AX25" s="3194"/>
      <c r="AY25" s="3197"/>
      <c r="AZ25" s="3194"/>
      <c r="BA25" s="3206"/>
      <c r="BB25" s="3206"/>
      <c r="BC25" s="3209"/>
      <c r="BD25" s="3212"/>
      <c r="BE25" s="3194"/>
      <c r="BF25" s="774">
        <v>42628</v>
      </c>
      <c r="BG25" s="774">
        <v>42629</v>
      </c>
      <c r="BH25" s="774">
        <v>42724</v>
      </c>
      <c r="BI25" s="774">
        <v>42725</v>
      </c>
      <c r="BJ25" s="3200"/>
    </row>
    <row r="26" spans="1:62" s="761" customFormat="1" ht="30.75" customHeight="1" x14ac:dyDescent="0.2">
      <c r="A26" s="3139"/>
      <c r="B26" s="3140"/>
      <c r="C26" s="3141"/>
      <c r="D26" s="3143"/>
      <c r="E26" s="3140"/>
      <c r="F26" s="3141"/>
      <c r="G26" s="775">
        <v>76</v>
      </c>
      <c r="H26" s="776" t="s">
        <v>481</v>
      </c>
      <c r="I26" s="776"/>
      <c r="J26" s="776"/>
      <c r="K26" s="4870"/>
      <c r="L26" s="776"/>
      <c r="M26" s="776"/>
      <c r="N26" s="1882"/>
      <c r="O26" s="776"/>
      <c r="P26" s="776"/>
      <c r="Q26" s="776"/>
      <c r="R26" s="776"/>
      <c r="S26" s="776"/>
      <c r="T26" s="776"/>
      <c r="U26" s="776"/>
      <c r="V26" s="776"/>
      <c r="W26" s="776"/>
      <c r="X26" s="777"/>
      <c r="Y26" s="777"/>
      <c r="Z26" s="776"/>
      <c r="AA26" s="776"/>
      <c r="AB26" s="776"/>
      <c r="AC26" s="777"/>
      <c r="AD26" s="776"/>
      <c r="AE26" s="777"/>
      <c r="AF26" s="776"/>
      <c r="AG26" s="777"/>
      <c r="AH26" s="776"/>
      <c r="AI26" s="777"/>
      <c r="AJ26" s="776"/>
      <c r="AK26" s="777"/>
      <c r="AL26" s="776"/>
      <c r="AM26" s="777"/>
      <c r="AN26" s="776"/>
      <c r="AO26" s="777"/>
      <c r="AP26" s="776"/>
      <c r="AQ26" s="777"/>
      <c r="AR26" s="776"/>
      <c r="AS26" s="777"/>
      <c r="AT26" s="776"/>
      <c r="AU26" s="777"/>
      <c r="AV26" s="776"/>
      <c r="AW26" s="777"/>
      <c r="AX26" s="776"/>
      <c r="AY26" s="777"/>
      <c r="AZ26" s="776"/>
      <c r="BA26" s="776"/>
      <c r="BB26" s="776"/>
      <c r="BC26" s="776"/>
      <c r="BD26" s="776"/>
      <c r="BE26" s="776"/>
      <c r="BF26" s="776"/>
      <c r="BG26" s="777"/>
      <c r="BH26" s="776"/>
      <c r="BI26" s="777"/>
      <c r="BJ26" s="778"/>
    </row>
    <row r="27" spans="1:62" s="761" customFormat="1" ht="71.25" x14ac:dyDescent="0.2">
      <c r="A27" s="3139"/>
      <c r="B27" s="3140"/>
      <c r="C27" s="3141"/>
      <c r="D27" s="3143"/>
      <c r="E27" s="3140"/>
      <c r="F27" s="3141"/>
      <c r="G27" s="3147"/>
      <c r="H27" s="3148"/>
      <c r="I27" s="3149"/>
      <c r="J27" s="779">
        <v>219</v>
      </c>
      <c r="K27" s="4871" t="s">
        <v>482</v>
      </c>
      <c r="L27" s="780" t="s">
        <v>453</v>
      </c>
      <c r="M27" s="781">
        <v>3</v>
      </c>
      <c r="N27" s="2230">
        <v>3</v>
      </c>
      <c r="O27" s="3213" t="s">
        <v>483</v>
      </c>
      <c r="P27" s="3182">
        <v>29</v>
      </c>
      <c r="Q27" s="3184" t="s">
        <v>484</v>
      </c>
      <c r="R27" s="894">
        <f>W27/S27*100</f>
        <v>5</v>
      </c>
      <c r="S27" s="3204">
        <v>250000000</v>
      </c>
      <c r="T27" s="3190" t="s">
        <v>485</v>
      </c>
      <c r="U27" s="3152" t="s">
        <v>486</v>
      </c>
      <c r="V27" s="2259" t="s">
        <v>487</v>
      </c>
      <c r="W27" s="1267">
        <v>12500000</v>
      </c>
      <c r="X27" s="1268">
        <v>9664000</v>
      </c>
      <c r="Y27" s="1268">
        <v>9664000</v>
      </c>
      <c r="Z27" s="3150">
        <v>20</v>
      </c>
      <c r="AA27" s="3150" t="s">
        <v>130</v>
      </c>
      <c r="AB27" s="3150">
        <v>1195</v>
      </c>
      <c r="AC27" s="3179">
        <v>886</v>
      </c>
      <c r="AD27" s="3150">
        <v>1324</v>
      </c>
      <c r="AE27" s="3179">
        <v>997</v>
      </c>
      <c r="AF27" s="3150">
        <v>507</v>
      </c>
      <c r="AG27" s="3179">
        <v>379</v>
      </c>
      <c r="AH27" s="3150">
        <v>1598</v>
      </c>
      <c r="AI27" s="3179">
        <v>1199</v>
      </c>
      <c r="AJ27" s="3150">
        <v>4203</v>
      </c>
      <c r="AK27" s="3179">
        <v>3265</v>
      </c>
      <c r="AL27" s="3150">
        <v>1421</v>
      </c>
      <c r="AM27" s="3179">
        <v>1124</v>
      </c>
      <c r="AN27" s="3215"/>
      <c r="AO27" s="3218"/>
      <c r="AP27" s="3215"/>
      <c r="AQ27" s="3218"/>
      <c r="AR27" s="3215"/>
      <c r="AS27" s="3218"/>
      <c r="AT27" s="3215"/>
      <c r="AU27" s="3218"/>
      <c r="AV27" s="3215"/>
      <c r="AW27" s="3218"/>
      <c r="AX27" s="3215"/>
      <c r="AY27" s="3218"/>
      <c r="AZ27" s="3215">
        <v>11</v>
      </c>
      <c r="BA27" s="3204">
        <f>SUM(X27:$X$30)</f>
        <v>191527329</v>
      </c>
      <c r="BB27" s="3204">
        <f>SUM(Y27:$Y$30)</f>
        <v>166027329</v>
      </c>
      <c r="BC27" s="3221">
        <f>BA27/BB27</f>
        <v>1.1535891720573304</v>
      </c>
      <c r="BD27" s="3215">
        <v>20</v>
      </c>
      <c r="BE27" s="3215" t="s">
        <v>488</v>
      </c>
      <c r="BF27" s="760">
        <v>42592</v>
      </c>
      <c r="BG27" s="760">
        <v>42593</v>
      </c>
      <c r="BH27" s="760">
        <v>42719</v>
      </c>
      <c r="BI27" s="760">
        <v>42720</v>
      </c>
      <c r="BJ27" s="3198" t="s">
        <v>460</v>
      </c>
    </row>
    <row r="28" spans="1:62" s="761" customFormat="1" ht="62.25" customHeight="1" x14ac:dyDescent="0.2">
      <c r="A28" s="3139"/>
      <c r="B28" s="3140"/>
      <c r="C28" s="3141"/>
      <c r="D28" s="3143"/>
      <c r="E28" s="3140"/>
      <c r="F28" s="3141"/>
      <c r="G28" s="3143"/>
      <c r="H28" s="3140"/>
      <c r="I28" s="3141"/>
      <c r="J28" s="779">
        <v>220</v>
      </c>
      <c r="K28" s="4872" t="s">
        <v>489</v>
      </c>
      <c r="L28" s="780" t="s">
        <v>453</v>
      </c>
      <c r="M28" s="796">
        <v>5</v>
      </c>
      <c r="N28" s="2230">
        <v>5</v>
      </c>
      <c r="O28" s="3213"/>
      <c r="P28" s="3183"/>
      <c r="Q28" s="3184"/>
      <c r="R28" s="894">
        <f>W28/S27*100</f>
        <v>93</v>
      </c>
      <c r="S28" s="3205"/>
      <c r="T28" s="3190"/>
      <c r="U28" s="3191"/>
      <c r="V28" s="2259" t="s">
        <v>490</v>
      </c>
      <c r="W28" s="1267">
        <v>232500000</v>
      </c>
      <c r="X28" s="1268">
        <v>176863329</v>
      </c>
      <c r="Y28" s="1268">
        <v>151363329</v>
      </c>
      <c r="Z28" s="3160"/>
      <c r="AA28" s="3160"/>
      <c r="AB28" s="3160"/>
      <c r="AC28" s="3180"/>
      <c r="AD28" s="3160"/>
      <c r="AE28" s="3180"/>
      <c r="AF28" s="3160"/>
      <c r="AG28" s="3180"/>
      <c r="AH28" s="3160"/>
      <c r="AI28" s="3180"/>
      <c r="AJ28" s="3160"/>
      <c r="AK28" s="3180"/>
      <c r="AL28" s="3160"/>
      <c r="AM28" s="3180"/>
      <c r="AN28" s="3216"/>
      <c r="AO28" s="3219"/>
      <c r="AP28" s="3216"/>
      <c r="AQ28" s="3219"/>
      <c r="AR28" s="3216"/>
      <c r="AS28" s="3219"/>
      <c r="AT28" s="3216"/>
      <c r="AU28" s="3219"/>
      <c r="AV28" s="3216"/>
      <c r="AW28" s="3219"/>
      <c r="AX28" s="3216"/>
      <c r="AY28" s="3219"/>
      <c r="AZ28" s="3216"/>
      <c r="BA28" s="3205"/>
      <c r="BB28" s="3205"/>
      <c r="BC28" s="3222"/>
      <c r="BD28" s="3216"/>
      <c r="BE28" s="3216"/>
      <c r="BF28" s="760">
        <v>42592</v>
      </c>
      <c r="BG28" s="764">
        <v>42592</v>
      </c>
      <c r="BH28" s="760">
        <v>42719</v>
      </c>
      <c r="BI28" s="769">
        <v>42724</v>
      </c>
      <c r="BJ28" s="3199"/>
    </row>
    <row r="29" spans="1:62" ht="40.5" customHeight="1" x14ac:dyDescent="0.2">
      <c r="A29" s="3139"/>
      <c r="B29" s="3140"/>
      <c r="C29" s="3141"/>
      <c r="D29" s="3143"/>
      <c r="E29" s="3140"/>
      <c r="F29" s="3141"/>
      <c r="G29" s="3143"/>
      <c r="H29" s="3140"/>
      <c r="I29" s="3141"/>
      <c r="J29" s="779">
        <v>221</v>
      </c>
      <c r="K29" s="4872" t="s">
        <v>491</v>
      </c>
      <c r="L29" s="780" t="s">
        <v>453</v>
      </c>
      <c r="M29" s="2255">
        <v>1</v>
      </c>
      <c r="N29" s="2230">
        <v>0.5</v>
      </c>
      <c r="O29" s="3213"/>
      <c r="P29" s="3183"/>
      <c r="Q29" s="3184"/>
      <c r="R29" s="894">
        <f>W29/S27*100</f>
        <v>1.2</v>
      </c>
      <c r="S29" s="3205"/>
      <c r="T29" s="3190"/>
      <c r="U29" s="3191"/>
      <c r="V29" s="3152" t="s">
        <v>492</v>
      </c>
      <c r="W29" s="1267">
        <v>3000000</v>
      </c>
      <c r="X29" s="1268">
        <v>3000000</v>
      </c>
      <c r="Y29" s="1268">
        <v>3000000</v>
      </c>
      <c r="Z29" s="3160"/>
      <c r="AA29" s="3160"/>
      <c r="AB29" s="3160"/>
      <c r="AC29" s="3180"/>
      <c r="AD29" s="3160"/>
      <c r="AE29" s="3180"/>
      <c r="AF29" s="3160"/>
      <c r="AG29" s="3180"/>
      <c r="AH29" s="3160"/>
      <c r="AI29" s="3180"/>
      <c r="AJ29" s="3160"/>
      <c r="AK29" s="3180"/>
      <c r="AL29" s="3160"/>
      <c r="AM29" s="3180"/>
      <c r="AN29" s="3216"/>
      <c r="AO29" s="3219"/>
      <c r="AP29" s="3216"/>
      <c r="AQ29" s="3219"/>
      <c r="AR29" s="3216"/>
      <c r="AS29" s="3219"/>
      <c r="AT29" s="3216"/>
      <c r="AU29" s="3219"/>
      <c r="AV29" s="3216"/>
      <c r="AW29" s="3219"/>
      <c r="AX29" s="3216"/>
      <c r="AY29" s="3219"/>
      <c r="AZ29" s="3216"/>
      <c r="BA29" s="3205"/>
      <c r="BB29" s="3205"/>
      <c r="BC29" s="3222"/>
      <c r="BD29" s="3216"/>
      <c r="BE29" s="3216"/>
      <c r="BF29" s="782">
        <v>42597</v>
      </c>
      <c r="BG29" s="782">
        <v>42598</v>
      </c>
      <c r="BH29" s="783">
        <v>42724</v>
      </c>
      <c r="BI29" s="783">
        <v>42725</v>
      </c>
      <c r="BJ29" s="3199"/>
    </row>
    <row r="30" spans="1:62" ht="48" customHeight="1" x14ac:dyDescent="0.2">
      <c r="A30" s="3139"/>
      <c r="B30" s="3140"/>
      <c r="C30" s="3141"/>
      <c r="D30" s="3144"/>
      <c r="E30" s="3145"/>
      <c r="F30" s="3146"/>
      <c r="G30" s="3144"/>
      <c r="H30" s="3145"/>
      <c r="I30" s="3146"/>
      <c r="J30" s="779">
        <v>222</v>
      </c>
      <c r="K30" s="4871" t="s">
        <v>493</v>
      </c>
      <c r="L30" s="780" t="s">
        <v>453</v>
      </c>
      <c r="M30" s="2255">
        <v>1</v>
      </c>
      <c r="N30" s="2230">
        <v>1</v>
      </c>
      <c r="O30" s="3213"/>
      <c r="P30" s="3214"/>
      <c r="Q30" s="3184"/>
      <c r="R30" s="894">
        <f>W30/S27*100</f>
        <v>0.8</v>
      </c>
      <c r="S30" s="3206"/>
      <c r="T30" s="3190"/>
      <c r="U30" s="3153"/>
      <c r="V30" s="3153"/>
      <c r="W30" s="1258">
        <v>2000000</v>
      </c>
      <c r="X30" s="1268">
        <v>2000000</v>
      </c>
      <c r="Y30" s="1268">
        <v>2000000</v>
      </c>
      <c r="Z30" s="3151"/>
      <c r="AA30" s="3151"/>
      <c r="AB30" s="3151"/>
      <c r="AC30" s="3181"/>
      <c r="AD30" s="3151"/>
      <c r="AE30" s="3181"/>
      <c r="AF30" s="3151"/>
      <c r="AG30" s="3181"/>
      <c r="AH30" s="3151"/>
      <c r="AI30" s="3181"/>
      <c r="AJ30" s="3151"/>
      <c r="AK30" s="3181"/>
      <c r="AL30" s="3151"/>
      <c r="AM30" s="3181"/>
      <c r="AN30" s="3217"/>
      <c r="AO30" s="3220"/>
      <c r="AP30" s="3217"/>
      <c r="AQ30" s="3220"/>
      <c r="AR30" s="3217"/>
      <c r="AS30" s="3220"/>
      <c r="AT30" s="3217"/>
      <c r="AU30" s="3220"/>
      <c r="AV30" s="3217"/>
      <c r="AW30" s="3220"/>
      <c r="AX30" s="3217"/>
      <c r="AY30" s="3220"/>
      <c r="AZ30" s="3217"/>
      <c r="BA30" s="3206"/>
      <c r="BB30" s="3206"/>
      <c r="BC30" s="3223"/>
      <c r="BD30" s="3217"/>
      <c r="BE30" s="3217"/>
      <c r="BF30" s="782" t="s">
        <v>494</v>
      </c>
      <c r="BG30" s="784">
        <v>42602</v>
      </c>
      <c r="BH30" s="782">
        <v>42724</v>
      </c>
      <c r="BI30" s="769">
        <v>42724</v>
      </c>
      <c r="BJ30" s="3200"/>
    </row>
    <row r="31" spans="1:62" ht="33" customHeight="1" x14ac:dyDescent="0.2">
      <c r="A31" s="3139"/>
      <c r="B31" s="3140"/>
      <c r="C31" s="3141"/>
      <c r="D31" s="785">
        <v>24</v>
      </c>
      <c r="E31" s="786" t="s">
        <v>495</v>
      </c>
      <c r="F31" s="786"/>
      <c r="G31" s="786"/>
      <c r="H31" s="786"/>
      <c r="I31" s="786"/>
      <c r="J31" s="786"/>
      <c r="K31" s="4873"/>
      <c r="L31" s="786"/>
      <c r="M31" s="786"/>
      <c r="N31" s="1883"/>
      <c r="O31" s="787"/>
      <c r="P31" s="787"/>
      <c r="Q31" s="787"/>
      <c r="R31" s="787"/>
      <c r="S31" s="787"/>
      <c r="T31" s="787"/>
      <c r="U31" s="787"/>
      <c r="V31" s="787"/>
      <c r="W31" s="787"/>
      <c r="X31" s="788"/>
      <c r="Y31" s="788"/>
      <c r="Z31" s="787"/>
      <c r="AA31" s="787"/>
      <c r="AB31" s="787"/>
      <c r="AC31" s="788"/>
      <c r="AD31" s="787"/>
      <c r="AE31" s="788"/>
      <c r="AF31" s="787"/>
      <c r="AG31" s="788"/>
      <c r="AH31" s="787"/>
      <c r="AI31" s="788"/>
      <c r="AJ31" s="787"/>
      <c r="AK31" s="788"/>
      <c r="AL31" s="787"/>
      <c r="AM31" s="788"/>
      <c r="AN31" s="787"/>
      <c r="AO31" s="788"/>
      <c r="AP31" s="787"/>
      <c r="AQ31" s="788"/>
      <c r="AR31" s="787"/>
      <c r="AS31" s="788"/>
      <c r="AT31" s="787"/>
      <c r="AU31" s="788"/>
      <c r="AV31" s="787"/>
      <c r="AW31" s="788"/>
      <c r="AX31" s="787"/>
      <c r="AY31" s="788"/>
      <c r="AZ31" s="787"/>
      <c r="BA31" s="787"/>
      <c r="BB31" s="787"/>
      <c r="BC31" s="787"/>
      <c r="BD31" s="787"/>
      <c r="BE31" s="787"/>
      <c r="BF31" s="787"/>
      <c r="BG31" s="788"/>
      <c r="BH31" s="787"/>
      <c r="BI31" s="788"/>
      <c r="BJ31" s="789"/>
    </row>
    <row r="32" spans="1:62" ht="27.75" customHeight="1" x14ac:dyDescent="0.2">
      <c r="A32" s="3139"/>
      <c r="B32" s="3140"/>
      <c r="C32" s="3141"/>
      <c r="D32" s="3143"/>
      <c r="E32" s="3140"/>
      <c r="F32" s="3141"/>
      <c r="G32" s="790">
        <v>78</v>
      </c>
      <c r="H32" s="754" t="s">
        <v>496</v>
      </c>
      <c r="I32" s="755"/>
      <c r="J32" s="755"/>
      <c r="K32" s="4868"/>
      <c r="L32" s="755"/>
      <c r="M32" s="755"/>
      <c r="N32" s="1884"/>
      <c r="O32" s="755"/>
      <c r="P32" s="755"/>
      <c r="Q32" s="755"/>
      <c r="R32" s="1282"/>
      <c r="S32" s="755"/>
      <c r="T32" s="755"/>
      <c r="U32" s="755"/>
      <c r="V32" s="755"/>
      <c r="W32" s="755"/>
      <c r="X32" s="756"/>
      <c r="Y32" s="756"/>
      <c r="Z32" s="755"/>
      <c r="AA32" s="755"/>
      <c r="AB32" s="755"/>
      <c r="AC32" s="756"/>
      <c r="AD32" s="755"/>
      <c r="AE32" s="756"/>
      <c r="AF32" s="755"/>
      <c r="AG32" s="756"/>
      <c r="AH32" s="755"/>
      <c r="AI32" s="756"/>
      <c r="AJ32" s="755"/>
      <c r="AK32" s="756"/>
      <c r="AL32" s="755"/>
      <c r="AM32" s="756"/>
      <c r="AN32" s="755"/>
      <c r="AO32" s="756"/>
      <c r="AP32" s="755"/>
      <c r="AQ32" s="756"/>
      <c r="AR32" s="755"/>
      <c r="AS32" s="756"/>
      <c r="AT32" s="755"/>
      <c r="AU32" s="756"/>
      <c r="AV32" s="755"/>
      <c r="AW32" s="756"/>
      <c r="AX32" s="755"/>
      <c r="AY32" s="756"/>
      <c r="AZ32" s="755"/>
      <c r="BA32" s="755"/>
      <c r="BB32" s="755"/>
      <c r="BC32" s="755"/>
      <c r="BD32" s="755"/>
      <c r="BE32" s="755"/>
      <c r="BF32" s="755"/>
      <c r="BG32" s="756"/>
      <c r="BH32" s="791"/>
      <c r="BI32" s="792"/>
      <c r="BJ32" s="793"/>
    </row>
    <row r="33" spans="1:64" ht="71.25" x14ac:dyDescent="0.2">
      <c r="A33" s="3139"/>
      <c r="B33" s="3140"/>
      <c r="C33" s="3141"/>
      <c r="D33" s="3143"/>
      <c r="E33" s="3140"/>
      <c r="F33" s="3141"/>
      <c r="G33" s="3147"/>
      <c r="H33" s="3148"/>
      <c r="I33" s="3149"/>
      <c r="J33" s="3224">
        <v>226</v>
      </c>
      <c r="K33" s="4874" t="s">
        <v>497</v>
      </c>
      <c r="L33" s="3203" t="s">
        <v>453</v>
      </c>
      <c r="M33" s="3232">
        <v>12</v>
      </c>
      <c r="N33" s="3156">
        <v>12</v>
      </c>
      <c r="O33" s="794"/>
      <c r="P33" s="3182">
        <v>30</v>
      </c>
      <c r="Q33" s="3152" t="s">
        <v>498</v>
      </c>
      <c r="R33" s="3098">
        <f>+(W33+W34+W35+W36+W37+W38+W39)/S33</f>
        <v>0.41521236928563338</v>
      </c>
      <c r="S33" s="3204">
        <v>406038000</v>
      </c>
      <c r="T33" s="3152" t="s">
        <v>499</v>
      </c>
      <c r="U33" s="3152" t="s">
        <v>500</v>
      </c>
      <c r="V33" s="767" t="s">
        <v>501</v>
      </c>
      <c r="W33" s="1258">
        <v>6100000</v>
      </c>
      <c r="X33" s="1268">
        <v>6100000</v>
      </c>
      <c r="Y33" s="1268">
        <v>6100000</v>
      </c>
      <c r="Z33" s="3182">
        <v>20</v>
      </c>
      <c r="AA33" s="3150" t="s">
        <v>130</v>
      </c>
      <c r="AB33" s="3227">
        <v>363</v>
      </c>
      <c r="AC33" s="3229">
        <v>221</v>
      </c>
      <c r="AD33" s="3227">
        <v>705</v>
      </c>
      <c r="AE33" s="3229">
        <v>248</v>
      </c>
      <c r="AF33" s="3227">
        <v>553</v>
      </c>
      <c r="AG33" s="3229">
        <v>94</v>
      </c>
      <c r="AH33" s="3227">
        <v>835</v>
      </c>
      <c r="AI33" s="3229">
        <v>299</v>
      </c>
      <c r="AJ33" s="3227">
        <v>1717</v>
      </c>
      <c r="AK33" s="3229">
        <v>813</v>
      </c>
      <c r="AL33" s="3227">
        <v>282</v>
      </c>
      <c r="AM33" s="3229">
        <v>280</v>
      </c>
      <c r="AN33" s="3227">
        <v>141</v>
      </c>
      <c r="AO33" s="3229">
        <v>35</v>
      </c>
      <c r="AP33" s="3227">
        <v>112</v>
      </c>
      <c r="AQ33" s="3229">
        <v>53</v>
      </c>
      <c r="AR33" s="3227"/>
      <c r="AS33" s="3229"/>
      <c r="AT33" s="3227">
        <f>AB33+AD33+AF33+AH33+AJ33+AL33+AN33+AP33</f>
        <v>4708</v>
      </c>
      <c r="AU33" s="3229">
        <f>+AC33+AE33+AG33+AI33+AK33+AM33+AO33+AQ33</f>
        <v>2043</v>
      </c>
      <c r="AV33" s="3227"/>
      <c r="AW33" s="3229"/>
      <c r="AX33" s="3227"/>
      <c r="AY33" s="3229"/>
      <c r="AZ33" s="3227">
        <v>21</v>
      </c>
      <c r="BA33" s="3204">
        <f>SUM(X33:$X$44)</f>
        <v>176126445</v>
      </c>
      <c r="BB33" s="3204">
        <f>SUM(Y33:Y44)</f>
        <v>160585645</v>
      </c>
      <c r="BC33" s="3207">
        <f>BB33/BA33</f>
        <v>0.91176339248770966</v>
      </c>
      <c r="BD33" s="3237" t="s">
        <v>502</v>
      </c>
      <c r="BE33" s="3227" t="s">
        <v>503</v>
      </c>
      <c r="BF33" s="760">
        <v>42592</v>
      </c>
      <c r="BG33" s="764">
        <v>42592</v>
      </c>
      <c r="BH33" s="760">
        <v>42719</v>
      </c>
      <c r="BI33" s="764">
        <v>42724</v>
      </c>
      <c r="BJ33" s="3241" t="s">
        <v>460</v>
      </c>
    </row>
    <row r="34" spans="1:64" ht="71.25" x14ac:dyDescent="0.2">
      <c r="A34" s="3139"/>
      <c r="B34" s="3140"/>
      <c r="C34" s="3141"/>
      <c r="D34" s="3143"/>
      <c r="E34" s="3140"/>
      <c r="F34" s="3141"/>
      <c r="G34" s="3143"/>
      <c r="H34" s="3140"/>
      <c r="I34" s="3141"/>
      <c r="J34" s="3225"/>
      <c r="K34" s="4875"/>
      <c r="L34" s="3203"/>
      <c r="M34" s="3232"/>
      <c r="N34" s="3156"/>
      <c r="O34" s="795"/>
      <c r="P34" s="3183"/>
      <c r="Q34" s="3191"/>
      <c r="R34" s="3234"/>
      <c r="S34" s="3205"/>
      <c r="T34" s="3191"/>
      <c r="U34" s="3191"/>
      <c r="V34" s="767" t="s">
        <v>504</v>
      </c>
      <c r="W34" s="1258">
        <v>6100000</v>
      </c>
      <c r="X34" s="1268">
        <v>6100000</v>
      </c>
      <c r="Y34" s="1268">
        <v>6100000</v>
      </c>
      <c r="Z34" s="3183"/>
      <c r="AA34" s="3160"/>
      <c r="AB34" s="3228"/>
      <c r="AC34" s="3230"/>
      <c r="AD34" s="3228"/>
      <c r="AE34" s="3230"/>
      <c r="AF34" s="3228"/>
      <c r="AG34" s="3230"/>
      <c r="AH34" s="3228"/>
      <c r="AI34" s="3230"/>
      <c r="AJ34" s="3228"/>
      <c r="AK34" s="3230"/>
      <c r="AL34" s="3228"/>
      <c r="AM34" s="3230"/>
      <c r="AN34" s="3228"/>
      <c r="AO34" s="3230"/>
      <c r="AP34" s="3228"/>
      <c r="AQ34" s="3230"/>
      <c r="AR34" s="3228"/>
      <c r="AS34" s="3230"/>
      <c r="AT34" s="3228"/>
      <c r="AU34" s="3230"/>
      <c r="AV34" s="3228"/>
      <c r="AW34" s="3230"/>
      <c r="AX34" s="3228"/>
      <c r="AY34" s="3230"/>
      <c r="AZ34" s="3228"/>
      <c r="BA34" s="3235"/>
      <c r="BB34" s="3235"/>
      <c r="BC34" s="3208"/>
      <c r="BD34" s="3238"/>
      <c r="BE34" s="3228"/>
      <c r="BF34" s="760">
        <v>42593</v>
      </c>
      <c r="BG34" s="764">
        <v>42592</v>
      </c>
      <c r="BH34" s="760">
        <v>42720</v>
      </c>
      <c r="BI34" s="764">
        <v>42724</v>
      </c>
      <c r="BJ34" s="3241"/>
    </row>
    <row r="35" spans="1:64" ht="71.25" x14ac:dyDescent="0.2">
      <c r="A35" s="3139"/>
      <c r="B35" s="3140"/>
      <c r="C35" s="3141"/>
      <c r="D35" s="3143"/>
      <c r="E35" s="3140"/>
      <c r="F35" s="3141"/>
      <c r="G35" s="3143"/>
      <c r="H35" s="3140"/>
      <c r="I35" s="3141"/>
      <c r="J35" s="3225"/>
      <c r="K35" s="4875"/>
      <c r="L35" s="3203"/>
      <c r="M35" s="3232"/>
      <c r="N35" s="3156"/>
      <c r="O35" s="795"/>
      <c r="P35" s="3183"/>
      <c r="Q35" s="3191"/>
      <c r="R35" s="3234"/>
      <c r="S35" s="3205"/>
      <c r="T35" s="3191"/>
      <c r="U35" s="3191"/>
      <c r="V35" s="767" t="s">
        <v>505</v>
      </c>
      <c r="W35" s="1258">
        <v>6100000</v>
      </c>
      <c r="X35" s="1268">
        <v>6100000</v>
      </c>
      <c r="Y35" s="1268">
        <v>6100000</v>
      </c>
      <c r="Z35" s="3183"/>
      <c r="AA35" s="3160"/>
      <c r="AB35" s="3228"/>
      <c r="AC35" s="3230"/>
      <c r="AD35" s="3228"/>
      <c r="AE35" s="3230"/>
      <c r="AF35" s="3228"/>
      <c r="AG35" s="3230"/>
      <c r="AH35" s="3228"/>
      <c r="AI35" s="3230"/>
      <c r="AJ35" s="3228"/>
      <c r="AK35" s="3230"/>
      <c r="AL35" s="3228"/>
      <c r="AM35" s="3230"/>
      <c r="AN35" s="3228"/>
      <c r="AO35" s="3230"/>
      <c r="AP35" s="3228"/>
      <c r="AQ35" s="3230"/>
      <c r="AR35" s="3228"/>
      <c r="AS35" s="3230"/>
      <c r="AT35" s="3228"/>
      <c r="AU35" s="3230"/>
      <c r="AV35" s="3228"/>
      <c r="AW35" s="3230"/>
      <c r="AX35" s="3228"/>
      <c r="AY35" s="3230"/>
      <c r="AZ35" s="3228"/>
      <c r="BA35" s="3235"/>
      <c r="BB35" s="3235"/>
      <c r="BC35" s="3208"/>
      <c r="BD35" s="3238"/>
      <c r="BE35" s="3228"/>
      <c r="BF35" s="760">
        <v>42594</v>
      </c>
      <c r="BG35" s="764">
        <v>42592</v>
      </c>
      <c r="BH35" s="760">
        <v>42721</v>
      </c>
      <c r="BI35" s="764">
        <v>42724</v>
      </c>
      <c r="BJ35" s="3241"/>
    </row>
    <row r="36" spans="1:64" ht="39" customHeight="1" x14ac:dyDescent="0.2">
      <c r="A36" s="3139"/>
      <c r="B36" s="3140"/>
      <c r="C36" s="3141"/>
      <c r="D36" s="3143"/>
      <c r="E36" s="3140"/>
      <c r="F36" s="3141"/>
      <c r="G36" s="3143"/>
      <c r="H36" s="3140"/>
      <c r="I36" s="3141"/>
      <c r="J36" s="3225"/>
      <c r="K36" s="4875"/>
      <c r="L36" s="3203"/>
      <c r="M36" s="3232"/>
      <c r="N36" s="3156"/>
      <c r="O36" s="795"/>
      <c r="P36" s="3183"/>
      <c r="Q36" s="3191"/>
      <c r="R36" s="3234"/>
      <c r="S36" s="3205"/>
      <c r="T36" s="3191"/>
      <c r="U36" s="3191"/>
      <c r="V36" s="767" t="s">
        <v>506</v>
      </c>
      <c r="W36" s="1258">
        <v>23400000</v>
      </c>
      <c r="X36" s="1268">
        <v>23400000</v>
      </c>
      <c r="Y36" s="1268">
        <v>23400000</v>
      </c>
      <c r="Z36" s="3183"/>
      <c r="AA36" s="3160"/>
      <c r="AB36" s="3228"/>
      <c r="AC36" s="3230"/>
      <c r="AD36" s="3228"/>
      <c r="AE36" s="3230"/>
      <c r="AF36" s="3228"/>
      <c r="AG36" s="3230"/>
      <c r="AH36" s="3228"/>
      <c r="AI36" s="3230"/>
      <c r="AJ36" s="3228"/>
      <c r="AK36" s="3230"/>
      <c r="AL36" s="3228"/>
      <c r="AM36" s="3230"/>
      <c r="AN36" s="3228"/>
      <c r="AO36" s="3230"/>
      <c r="AP36" s="3228"/>
      <c r="AQ36" s="3230"/>
      <c r="AR36" s="3228"/>
      <c r="AS36" s="3230"/>
      <c r="AT36" s="3228"/>
      <c r="AU36" s="3230"/>
      <c r="AV36" s="3228"/>
      <c r="AW36" s="3230"/>
      <c r="AX36" s="3228"/>
      <c r="AY36" s="3230"/>
      <c r="AZ36" s="3228"/>
      <c r="BA36" s="3235"/>
      <c r="BB36" s="3235"/>
      <c r="BC36" s="3208"/>
      <c r="BD36" s="3238"/>
      <c r="BE36" s="3228"/>
      <c r="BF36" s="760">
        <v>42592</v>
      </c>
      <c r="BG36" s="764">
        <v>42592</v>
      </c>
      <c r="BH36" s="760">
        <v>42719</v>
      </c>
      <c r="BI36" s="764">
        <v>42724</v>
      </c>
      <c r="BJ36" s="3241"/>
    </row>
    <row r="37" spans="1:64" ht="96.75" customHeight="1" x14ac:dyDescent="0.2">
      <c r="A37" s="3139"/>
      <c r="B37" s="3140"/>
      <c r="C37" s="3141"/>
      <c r="D37" s="3143"/>
      <c r="E37" s="3140"/>
      <c r="F37" s="3141"/>
      <c r="G37" s="3143"/>
      <c r="H37" s="3140"/>
      <c r="I37" s="3141"/>
      <c r="J37" s="3225"/>
      <c r="K37" s="4875"/>
      <c r="L37" s="3203"/>
      <c r="M37" s="3232"/>
      <c r="N37" s="3156"/>
      <c r="O37" s="795"/>
      <c r="P37" s="3183"/>
      <c r="Q37" s="3191"/>
      <c r="R37" s="3234"/>
      <c r="S37" s="3205"/>
      <c r="T37" s="3191"/>
      <c r="U37" s="3191"/>
      <c r="V37" s="767" t="s">
        <v>507</v>
      </c>
      <c r="W37" s="1258">
        <v>60000000</v>
      </c>
      <c r="X37" s="1268">
        <v>0</v>
      </c>
      <c r="Y37" s="1268">
        <v>0</v>
      </c>
      <c r="Z37" s="3183"/>
      <c r="AA37" s="3160"/>
      <c r="AB37" s="3228"/>
      <c r="AC37" s="3230"/>
      <c r="AD37" s="3228"/>
      <c r="AE37" s="3230"/>
      <c r="AF37" s="3228"/>
      <c r="AG37" s="3230"/>
      <c r="AH37" s="3228"/>
      <c r="AI37" s="3230"/>
      <c r="AJ37" s="3228"/>
      <c r="AK37" s="3230"/>
      <c r="AL37" s="3228"/>
      <c r="AM37" s="3230"/>
      <c r="AN37" s="3228"/>
      <c r="AO37" s="3230"/>
      <c r="AP37" s="3228"/>
      <c r="AQ37" s="3230"/>
      <c r="AR37" s="3228"/>
      <c r="AS37" s="3230"/>
      <c r="AT37" s="3228"/>
      <c r="AU37" s="3230"/>
      <c r="AV37" s="3228"/>
      <c r="AW37" s="3230"/>
      <c r="AX37" s="3228"/>
      <c r="AY37" s="3230"/>
      <c r="AZ37" s="3228"/>
      <c r="BA37" s="3235"/>
      <c r="BB37" s="3235"/>
      <c r="BC37" s="3208"/>
      <c r="BD37" s="3238"/>
      <c r="BE37" s="3228"/>
      <c r="BF37" s="760">
        <v>42628</v>
      </c>
      <c r="BG37" s="764"/>
      <c r="BH37" s="760">
        <v>42724</v>
      </c>
      <c r="BI37" s="764"/>
      <c r="BJ37" s="3241"/>
    </row>
    <row r="38" spans="1:64" ht="57" x14ac:dyDescent="0.2">
      <c r="A38" s="3139"/>
      <c r="B38" s="3140"/>
      <c r="C38" s="3141"/>
      <c r="D38" s="3143"/>
      <c r="E38" s="3140"/>
      <c r="F38" s="3141"/>
      <c r="G38" s="3143"/>
      <c r="H38" s="3140"/>
      <c r="I38" s="3141"/>
      <c r="J38" s="3225"/>
      <c r="K38" s="4875"/>
      <c r="L38" s="3203"/>
      <c r="M38" s="3232"/>
      <c r="N38" s="3156"/>
      <c r="O38" s="795" t="s">
        <v>508</v>
      </c>
      <c r="P38" s="3183"/>
      <c r="Q38" s="3191"/>
      <c r="R38" s="3234"/>
      <c r="S38" s="3205"/>
      <c r="T38" s="3191"/>
      <c r="U38" s="3191"/>
      <c r="V38" s="767" t="s">
        <v>509</v>
      </c>
      <c r="W38" s="1258">
        <v>26892000</v>
      </c>
      <c r="X38" s="1268">
        <v>26643000</v>
      </c>
      <c r="Y38" s="1268">
        <f>15399000+11244000</f>
        <v>26643000</v>
      </c>
      <c r="Z38" s="3183"/>
      <c r="AA38" s="3160"/>
      <c r="AB38" s="3228"/>
      <c r="AC38" s="3230"/>
      <c r="AD38" s="3228"/>
      <c r="AE38" s="3230"/>
      <c r="AF38" s="3228"/>
      <c r="AG38" s="3230"/>
      <c r="AH38" s="3228"/>
      <c r="AI38" s="3230"/>
      <c r="AJ38" s="3228"/>
      <c r="AK38" s="3230"/>
      <c r="AL38" s="3228"/>
      <c r="AM38" s="3230"/>
      <c r="AN38" s="3228"/>
      <c r="AO38" s="3230"/>
      <c r="AP38" s="3228"/>
      <c r="AQ38" s="3230"/>
      <c r="AR38" s="3228"/>
      <c r="AS38" s="3230"/>
      <c r="AT38" s="3228"/>
      <c r="AU38" s="3230"/>
      <c r="AV38" s="3228"/>
      <c r="AW38" s="3230"/>
      <c r="AX38" s="3228"/>
      <c r="AY38" s="3230"/>
      <c r="AZ38" s="3228"/>
      <c r="BA38" s="3235"/>
      <c r="BB38" s="3235"/>
      <c r="BC38" s="3208"/>
      <c r="BD38" s="3238"/>
      <c r="BE38" s="3228"/>
      <c r="BF38" s="760">
        <v>42628</v>
      </c>
      <c r="BG38" s="764">
        <v>42629</v>
      </c>
      <c r="BH38" s="760">
        <v>42724</v>
      </c>
      <c r="BI38" s="760">
        <v>42725</v>
      </c>
      <c r="BJ38" s="3241"/>
    </row>
    <row r="39" spans="1:64" ht="57" x14ac:dyDescent="0.2">
      <c r="A39" s="3139"/>
      <c r="B39" s="3140"/>
      <c r="C39" s="3141"/>
      <c r="D39" s="3143"/>
      <c r="E39" s="3140"/>
      <c r="F39" s="3141"/>
      <c r="G39" s="3143"/>
      <c r="H39" s="3140"/>
      <c r="I39" s="3141"/>
      <c r="J39" s="3226"/>
      <c r="K39" s="4876"/>
      <c r="L39" s="3165"/>
      <c r="M39" s="3233"/>
      <c r="N39" s="3156"/>
      <c r="O39" s="795" t="s">
        <v>510</v>
      </c>
      <c r="P39" s="3183"/>
      <c r="Q39" s="3191"/>
      <c r="R39" s="3099"/>
      <c r="S39" s="3205"/>
      <c r="T39" s="3191"/>
      <c r="U39" s="3191"/>
      <c r="V39" s="767" t="s">
        <v>511</v>
      </c>
      <c r="W39" s="1258">
        <v>40000000</v>
      </c>
      <c r="X39" s="1268">
        <v>0</v>
      </c>
      <c r="Y39" s="1268">
        <v>0</v>
      </c>
      <c r="Z39" s="3183"/>
      <c r="AA39" s="3160"/>
      <c r="AB39" s="3228"/>
      <c r="AC39" s="3230"/>
      <c r="AD39" s="3228"/>
      <c r="AE39" s="3230"/>
      <c r="AF39" s="3228"/>
      <c r="AG39" s="3230"/>
      <c r="AH39" s="3228"/>
      <c r="AI39" s="3230"/>
      <c r="AJ39" s="3228"/>
      <c r="AK39" s="3230"/>
      <c r="AL39" s="3228"/>
      <c r="AM39" s="3230"/>
      <c r="AN39" s="3228"/>
      <c r="AO39" s="3230"/>
      <c r="AP39" s="3228"/>
      <c r="AQ39" s="3230"/>
      <c r="AR39" s="3228"/>
      <c r="AS39" s="3230"/>
      <c r="AT39" s="3228"/>
      <c r="AU39" s="3230"/>
      <c r="AV39" s="3228"/>
      <c r="AW39" s="3230"/>
      <c r="AX39" s="3228"/>
      <c r="AY39" s="3230"/>
      <c r="AZ39" s="3228"/>
      <c r="BA39" s="3235"/>
      <c r="BB39" s="3235"/>
      <c r="BC39" s="3208"/>
      <c r="BD39" s="3238"/>
      <c r="BE39" s="3228"/>
      <c r="BF39" s="760" t="s">
        <v>512</v>
      </c>
      <c r="BG39" s="764"/>
      <c r="BH39" s="760">
        <v>42724</v>
      </c>
      <c r="BI39" s="764"/>
      <c r="BJ39" s="3241"/>
    </row>
    <row r="40" spans="1:64" ht="85.5" x14ac:dyDescent="0.2">
      <c r="A40" s="3139"/>
      <c r="B40" s="3140"/>
      <c r="C40" s="3141"/>
      <c r="D40" s="3143"/>
      <c r="E40" s="3140"/>
      <c r="F40" s="3141"/>
      <c r="G40" s="3143"/>
      <c r="H40" s="3140"/>
      <c r="I40" s="3141"/>
      <c r="J40" s="763">
        <v>227</v>
      </c>
      <c r="K40" s="4871" t="s">
        <v>513</v>
      </c>
      <c r="L40" s="2278" t="s">
        <v>453</v>
      </c>
      <c r="M40" s="796">
        <v>12</v>
      </c>
      <c r="N40" s="2230">
        <v>6</v>
      </c>
      <c r="O40" s="795"/>
      <c r="P40" s="3183"/>
      <c r="Q40" s="3191"/>
      <c r="R40" s="458">
        <f>+W40/S33</f>
        <v>0.33814569079741302</v>
      </c>
      <c r="S40" s="3205"/>
      <c r="T40" s="3191"/>
      <c r="U40" s="3191"/>
      <c r="V40" s="2234" t="s">
        <v>514</v>
      </c>
      <c r="W40" s="1258">
        <v>137300000</v>
      </c>
      <c r="X40" s="1268">
        <v>57379675</v>
      </c>
      <c r="Y40" s="1268">
        <v>57379675</v>
      </c>
      <c r="Z40" s="3183"/>
      <c r="AA40" s="3160"/>
      <c r="AB40" s="3228"/>
      <c r="AC40" s="3230"/>
      <c r="AD40" s="3228"/>
      <c r="AE40" s="3230"/>
      <c r="AF40" s="3228"/>
      <c r="AG40" s="3230"/>
      <c r="AH40" s="3228"/>
      <c r="AI40" s="3230"/>
      <c r="AJ40" s="3228"/>
      <c r="AK40" s="3230"/>
      <c r="AL40" s="3228"/>
      <c r="AM40" s="3230"/>
      <c r="AN40" s="3228"/>
      <c r="AO40" s="3230"/>
      <c r="AP40" s="3228"/>
      <c r="AQ40" s="3230"/>
      <c r="AR40" s="3228"/>
      <c r="AS40" s="3230"/>
      <c r="AT40" s="3228"/>
      <c r="AU40" s="3230"/>
      <c r="AV40" s="3228"/>
      <c r="AW40" s="3230"/>
      <c r="AX40" s="3228"/>
      <c r="AY40" s="3230"/>
      <c r="AZ40" s="3228"/>
      <c r="BA40" s="3235"/>
      <c r="BB40" s="3235"/>
      <c r="BC40" s="3208"/>
      <c r="BD40" s="3238"/>
      <c r="BE40" s="3228"/>
      <c r="BF40" s="760">
        <v>42602</v>
      </c>
      <c r="BG40" s="764">
        <v>42603</v>
      </c>
      <c r="BH40" s="760">
        <v>42724</v>
      </c>
      <c r="BI40" s="764">
        <v>42725</v>
      </c>
      <c r="BJ40" s="3241"/>
    </row>
    <row r="41" spans="1:64" ht="71.25" x14ac:dyDescent="0.2">
      <c r="A41" s="3139"/>
      <c r="B41" s="3140"/>
      <c r="C41" s="3141"/>
      <c r="D41" s="3143"/>
      <c r="E41" s="3140"/>
      <c r="F41" s="3141"/>
      <c r="G41" s="3143"/>
      <c r="H41" s="3140"/>
      <c r="I41" s="3141"/>
      <c r="J41" s="763">
        <v>228</v>
      </c>
      <c r="K41" s="4871" t="s">
        <v>515</v>
      </c>
      <c r="L41" s="2278" t="s">
        <v>453</v>
      </c>
      <c r="M41" s="796">
        <v>2</v>
      </c>
      <c r="N41" s="2230">
        <v>2</v>
      </c>
      <c r="O41" s="795"/>
      <c r="P41" s="3183"/>
      <c r="Q41" s="3191"/>
      <c r="R41" s="458">
        <f>+W41/S33</f>
        <v>7.3751717819514423E-2</v>
      </c>
      <c r="S41" s="3205"/>
      <c r="T41" s="3191"/>
      <c r="U41" s="3191"/>
      <c r="V41" s="2234" t="s">
        <v>516</v>
      </c>
      <c r="W41" s="1258">
        <v>29946000</v>
      </c>
      <c r="X41" s="1268">
        <v>11612970</v>
      </c>
      <c r="Y41" s="1268">
        <v>11612970</v>
      </c>
      <c r="Z41" s="3183"/>
      <c r="AA41" s="3160"/>
      <c r="AB41" s="3228"/>
      <c r="AC41" s="3230"/>
      <c r="AD41" s="3228"/>
      <c r="AE41" s="3230"/>
      <c r="AF41" s="3228"/>
      <c r="AG41" s="3230"/>
      <c r="AH41" s="3228"/>
      <c r="AI41" s="3230"/>
      <c r="AJ41" s="3228"/>
      <c r="AK41" s="3230"/>
      <c r="AL41" s="3228"/>
      <c r="AM41" s="3230"/>
      <c r="AN41" s="3228"/>
      <c r="AO41" s="3230"/>
      <c r="AP41" s="3228"/>
      <c r="AQ41" s="3230"/>
      <c r="AR41" s="3228"/>
      <c r="AS41" s="3230"/>
      <c r="AT41" s="3228"/>
      <c r="AU41" s="3230"/>
      <c r="AV41" s="3228"/>
      <c r="AW41" s="3230"/>
      <c r="AX41" s="3228"/>
      <c r="AY41" s="3230"/>
      <c r="AZ41" s="3228"/>
      <c r="BA41" s="3235"/>
      <c r="BB41" s="3235"/>
      <c r="BC41" s="3208"/>
      <c r="BD41" s="3238"/>
      <c r="BE41" s="3228"/>
      <c r="BF41" s="760">
        <v>42607</v>
      </c>
      <c r="BG41" s="764">
        <v>42628</v>
      </c>
      <c r="BH41" s="760">
        <v>42719</v>
      </c>
      <c r="BI41" s="764">
        <v>42724</v>
      </c>
      <c r="BJ41" s="3241"/>
      <c r="BK41" s="734"/>
      <c r="BL41" s="734"/>
    </row>
    <row r="42" spans="1:64" ht="79.5" customHeight="1" x14ac:dyDescent="0.2">
      <c r="A42" s="3139"/>
      <c r="B42" s="3140"/>
      <c r="C42" s="3141"/>
      <c r="D42" s="3143"/>
      <c r="E42" s="3140"/>
      <c r="F42" s="3141"/>
      <c r="G42" s="3143"/>
      <c r="H42" s="3140"/>
      <c r="I42" s="3141"/>
      <c r="J42" s="763">
        <v>229</v>
      </c>
      <c r="K42" s="4871" t="s">
        <v>517</v>
      </c>
      <c r="L42" s="2278" t="s">
        <v>453</v>
      </c>
      <c r="M42" s="796">
        <v>13</v>
      </c>
      <c r="N42" s="2230">
        <v>8</v>
      </c>
      <c r="O42" s="795"/>
      <c r="P42" s="3183"/>
      <c r="Q42" s="3191"/>
      <c r="R42" s="458">
        <f>+W42/S33</f>
        <v>0.10269974731429078</v>
      </c>
      <c r="S42" s="3205"/>
      <c r="T42" s="3191"/>
      <c r="U42" s="3191"/>
      <c r="V42" s="2234" t="s">
        <v>518</v>
      </c>
      <c r="W42" s="1258">
        <v>41700000</v>
      </c>
      <c r="X42" s="1268">
        <v>18500000</v>
      </c>
      <c r="Y42" s="1268">
        <v>18500000</v>
      </c>
      <c r="Z42" s="3183"/>
      <c r="AA42" s="3160"/>
      <c r="AB42" s="3228"/>
      <c r="AC42" s="3230"/>
      <c r="AD42" s="3228"/>
      <c r="AE42" s="3230"/>
      <c r="AF42" s="3228"/>
      <c r="AG42" s="3230"/>
      <c r="AH42" s="3228"/>
      <c r="AI42" s="3230"/>
      <c r="AJ42" s="3228"/>
      <c r="AK42" s="3230"/>
      <c r="AL42" s="3228"/>
      <c r="AM42" s="3230"/>
      <c r="AN42" s="3228"/>
      <c r="AO42" s="3230"/>
      <c r="AP42" s="3228"/>
      <c r="AQ42" s="3230"/>
      <c r="AR42" s="3228"/>
      <c r="AS42" s="3230"/>
      <c r="AT42" s="3228"/>
      <c r="AU42" s="3230"/>
      <c r="AV42" s="3228"/>
      <c r="AW42" s="3230"/>
      <c r="AX42" s="3228"/>
      <c r="AY42" s="3230"/>
      <c r="AZ42" s="3228"/>
      <c r="BA42" s="3235"/>
      <c r="BB42" s="3235"/>
      <c r="BC42" s="3208"/>
      <c r="BD42" s="3238"/>
      <c r="BE42" s="3228"/>
      <c r="BF42" s="760">
        <v>42597</v>
      </c>
      <c r="BG42" s="764">
        <v>42628</v>
      </c>
      <c r="BH42" s="760">
        <v>42719</v>
      </c>
      <c r="BI42" s="764">
        <v>42724</v>
      </c>
      <c r="BJ42" s="3241"/>
      <c r="BK42" s="734"/>
      <c r="BL42" s="734"/>
    </row>
    <row r="43" spans="1:64" ht="71.25" x14ac:dyDescent="0.2">
      <c r="A43" s="3139"/>
      <c r="B43" s="3140"/>
      <c r="C43" s="3141"/>
      <c r="D43" s="3143"/>
      <c r="E43" s="3140"/>
      <c r="F43" s="3141"/>
      <c r="G43" s="3143"/>
      <c r="H43" s="3140"/>
      <c r="I43" s="3141"/>
      <c r="J43" s="3150">
        <v>230</v>
      </c>
      <c r="K43" s="4874" t="s">
        <v>519</v>
      </c>
      <c r="L43" s="3161" t="s">
        <v>453</v>
      </c>
      <c r="M43" s="3242">
        <v>1</v>
      </c>
      <c r="N43" s="3156">
        <v>0.5</v>
      </c>
      <c r="O43" s="795"/>
      <c r="P43" s="3183"/>
      <c r="Q43" s="3191"/>
      <c r="R43" s="3098">
        <f>+(W43+W44)/S33</f>
        <v>7.0190474783148382E-2</v>
      </c>
      <c r="S43" s="3205"/>
      <c r="T43" s="3191"/>
      <c r="U43" s="3191"/>
      <c r="V43" s="2259" t="s">
        <v>520</v>
      </c>
      <c r="W43" s="1267">
        <v>13500000</v>
      </c>
      <c r="X43" s="1268">
        <v>15540800</v>
      </c>
      <c r="Y43" s="1268">
        <v>0</v>
      </c>
      <c r="Z43" s="3183"/>
      <c r="AA43" s="3160"/>
      <c r="AB43" s="3228"/>
      <c r="AC43" s="3230"/>
      <c r="AD43" s="3228"/>
      <c r="AE43" s="3230"/>
      <c r="AF43" s="3228"/>
      <c r="AG43" s="3230"/>
      <c r="AH43" s="3228"/>
      <c r="AI43" s="3230"/>
      <c r="AJ43" s="3228"/>
      <c r="AK43" s="3230"/>
      <c r="AL43" s="3228"/>
      <c r="AM43" s="3230"/>
      <c r="AN43" s="3228"/>
      <c r="AO43" s="3230"/>
      <c r="AP43" s="3228"/>
      <c r="AQ43" s="3230"/>
      <c r="AR43" s="3228"/>
      <c r="AS43" s="3230"/>
      <c r="AT43" s="3228"/>
      <c r="AU43" s="3230"/>
      <c r="AV43" s="3228"/>
      <c r="AW43" s="3230"/>
      <c r="AX43" s="3228"/>
      <c r="AY43" s="3230"/>
      <c r="AZ43" s="3228"/>
      <c r="BA43" s="3235"/>
      <c r="BB43" s="3235"/>
      <c r="BC43" s="3208"/>
      <c r="BD43" s="3238"/>
      <c r="BE43" s="3228"/>
      <c r="BF43" s="782">
        <v>42628</v>
      </c>
      <c r="BG43" s="769">
        <v>42629</v>
      </c>
      <c r="BH43" s="782">
        <v>42724</v>
      </c>
      <c r="BI43" s="769">
        <v>42725</v>
      </c>
      <c r="BJ43" s="3241"/>
      <c r="BK43" s="734"/>
      <c r="BL43" s="734"/>
    </row>
    <row r="44" spans="1:64" ht="57" x14ac:dyDescent="0.2">
      <c r="A44" s="3139"/>
      <c r="B44" s="3140"/>
      <c r="C44" s="3141"/>
      <c r="D44" s="3143"/>
      <c r="E44" s="3140"/>
      <c r="F44" s="3141"/>
      <c r="G44" s="3143"/>
      <c r="H44" s="3140"/>
      <c r="I44" s="3141"/>
      <c r="J44" s="3160"/>
      <c r="K44" s="4875"/>
      <c r="L44" s="3203"/>
      <c r="M44" s="3232"/>
      <c r="N44" s="3156"/>
      <c r="O44" s="795"/>
      <c r="P44" s="3183"/>
      <c r="Q44" s="3191"/>
      <c r="R44" s="3234"/>
      <c r="S44" s="3206"/>
      <c r="T44" s="3191"/>
      <c r="U44" s="3191"/>
      <c r="V44" s="2229" t="s">
        <v>521</v>
      </c>
      <c r="W44" s="1269">
        <v>15000000</v>
      </c>
      <c r="X44" s="1270">
        <v>4750000</v>
      </c>
      <c r="Y44" s="1270">
        <v>4750000</v>
      </c>
      <c r="Z44" s="3183"/>
      <c r="AA44" s="3160"/>
      <c r="AB44" s="3228"/>
      <c r="AC44" s="3231"/>
      <c r="AD44" s="3228"/>
      <c r="AE44" s="3231"/>
      <c r="AF44" s="3228"/>
      <c r="AG44" s="3231"/>
      <c r="AH44" s="3228"/>
      <c r="AI44" s="3231"/>
      <c r="AJ44" s="3228"/>
      <c r="AK44" s="3231"/>
      <c r="AL44" s="3228"/>
      <c r="AM44" s="3231"/>
      <c r="AN44" s="3228"/>
      <c r="AO44" s="3231"/>
      <c r="AP44" s="3228"/>
      <c r="AQ44" s="3231"/>
      <c r="AR44" s="3240"/>
      <c r="AS44" s="3231"/>
      <c r="AT44" s="3228"/>
      <c r="AU44" s="3231"/>
      <c r="AV44" s="3240"/>
      <c r="AW44" s="3231"/>
      <c r="AX44" s="3240"/>
      <c r="AY44" s="3231"/>
      <c r="AZ44" s="3240"/>
      <c r="BA44" s="3236"/>
      <c r="BB44" s="3236"/>
      <c r="BC44" s="3209"/>
      <c r="BD44" s="3239"/>
      <c r="BE44" s="3240"/>
      <c r="BF44" s="783">
        <v>42597</v>
      </c>
      <c r="BG44" s="797">
        <v>42628</v>
      </c>
      <c r="BH44" s="783">
        <v>42719</v>
      </c>
      <c r="BI44" s="797">
        <v>42724</v>
      </c>
      <c r="BJ44" s="3241"/>
    </row>
    <row r="45" spans="1:64" ht="35.25" customHeight="1" x14ac:dyDescent="0.2">
      <c r="A45" s="3139"/>
      <c r="B45" s="3140"/>
      <c r="C45" s="3141"/>
      <c r="D45" s="3143"/>
      <c r="E45" s="3140"/>
      <c r="F45" s="3141"/>
      <c r="G45" s="3143"/>
      <c r="H45" s="3140"/>
      <c r="I45" s="3141"/>
      <c r="J45" s="3247">
        <v>229</v>
      </c>
      <c r="K45" s="3185" t="s">
        <v>517</v>
      </c>
      <c r="L45" s="3249" t="s">
        <v>522</v>
      </c>
      <c r="M45" s="3166">
        <v>13</v>
      </c>
      <c r="N45" s="3156">
        <v>5</v>
      </c>
      <c r="O45" s="3227" t="s">
        <v>523</v>
      </c>
      <c r="P45" s="3182">
        <v>31</v>
      </c>
      <c r="Q45" s="3243" t="s">
        <v>524</v>
      </c>
      <c r="R45" s="3245">
        <f>+W45/S45</f>
        <v>0.16960075981140396</v>
      </c>
      <c r="S45" s="3204">
        <v>58962000</v>
      </c>
      <c r="T45" s="3190" t="s">
        <v>525</v>
      </c>
      <c r="U45" s="3190" t="s">
        <v>526</v>
      </c>
      <c r="V45" s="3184" t="s">
        <v>527</v>
      </c>
      <c r="W45" s="3255">
        <v>10000000</v>
      </c>
      <c r="X45" s="3256">
        <v>10000000</v>
      </c>
      <c r="Y45" s="3256">
        <v>10000000</v>
      </c>
      <c r="Z45" s="3257">
        <v>20</v>
      </c>
      <c r="AA45" s="3260" t="s">
        <v>130</v>
      </c>
      <c r="AB45" s="3251">
        <v>363</v>
      </c>
      <c r="AC45" s="3252">
        <v>407</v>
      </c>
      <c r="AD45" s="3251">
        <v>705</v>
      </c>
      <c r="AE45" s="3252">
        <v>459</v>
      </c>
      <c r="AF45" s="3251">
        <v>553</v>
      </c>
      <c r="AG45" s="3252">
        <v>175</v>
      </c>
      <c r="AH45" s="3251">
        <v>835</v>
      </c>
      <c r="AI45" s="3252">
        <v>786</v>
      </c>
      <c r="AJ45" s="3251">
        <v>1717</v>
      </c>
      <c r="AK45" s="3252">
        <v>1502</v>
      </c>
      <c r="AL45" s="3251">
        <v>282</v>
      </c>
      <c r="AM45" s="3252">
        <v>282</v>
      </c>
      <c r="AN45" s="3251">
        <v>112</v>
      </c>
      <c r="AO45" s="3252">
        <v>40</v>
      </c>
      <c r="AP45" s="3251">
        <v>141</v>
      </c>
      <c r="AQ45" s="3252">
        <v>30</v>
      </c>
      <c r="AR45" s="3263"/>
      <c r="AS45" s="3252"/>
      <c r="AT45" s="3251">
        <v>4708</v>
      </c>
      <c r="AU45" s="3252">
        <f>+AC45+AE45+AG45+AI45+AK45+AM45+AO45+AQ45</f>
        <v>3681</v>
      </c>
      <c r="AV45" s="3263"/>
      <c r="AW45" s="3252"/>
      <c r="AX45" s="3263"/>
      <c r="AY45" s="3252"/>
      <c r="AZ45" s="3263">
        <v>5</v>
      </c>
      <c r="BA45" s="3204">
        <f>SUM(X45:$X$50)</f>
        <v>50300300</v>
      </c>
      <c r="BB45" s="3204">
        <f>SUM($Y$45:$Y$50)</f>
        <v>50300300</v>
      </c>
      <c r="BC45" s="3281">
        <f>BB45/BA45</f>
        <v>1</v>
      </c>
      <c r="BD45" s="3263">
        <v>20</v>
      </c>
      <c r="BE45" s="3284" t="s">
        <v>503</v>
      </c>
      <c r="BF45" s="3266">
        <v>42415</v>
      </c>
      <c r="BG45" s="3268">
        <v>42415</v>
      </c>
      <c r="BH45" s="3270">
        <v>42571</v>
      </c>
      <c r="BI45" s="3272">
        <v>42546</v>
      </c>
      <c r="BJ45" s="3241"/>
    </row>
    <row r="46" spans="1:64" ht="83.25" customHeight="1" x14ac:dyDescent="0.2">
      <c r="A46" s="3139"/>
      <c r="B46" s="3140"/>
      <c r="C46" s="3141"/>
      <c r="D46" s="3143"/>
      <c r="E46" s="3140"/>
      <c r="F46" s="3141"/>
      <c r="G46" s="3143"/>
      <c r="H46" s="3140"/>
      <c r="I46" s="3141"/>
      <c r="J46" s="3248"/>
      <c r="K46" s="3301"/>
      <c r="L46" s="3250"/>
      <c r="M46" s="3167"/>
      <c r="N46" s="3156"/>
      <c r="O46" s="3228"/>
      <c r="P46" s="3183"/>
      <c r="Q46" s="3244"/>
      <c r="R46" s="3245"/>
      <c r="S46" s="3205"/>
      <c r="T46" s="3190"/>
      <c r="U46" s="3246"/>
      <c r="V46" s="3184"/>
      <c r="W46" s="3255"/>
      <c r="X46" s="3256"/>
      <c r="Y46" s="3256"/>
      <c r="Z46" s="3258"/>
      <c r="AA46" s="3261"/>
      <c r="AB46" s="3251"/>
      <c r="AC46" s="3253"/>
      <c r="AD46" s="3251"/>
      <c r="AE46" s="3253"/>
      <c r="AF46" s="3251"/>
      <c r="AG46" s="3253"/>
      <c r="AH46" s="3251"/>
      <c r="AI46" s="3253"/>
      <c r="AJ46" s="3251"/>
      <c r="AK46" s="3253"/>
      <c r="AL46" s="3251"/>
      <c r="AM46" s="3253"/>
      <c r="AN46" s="3251"/>
      <c r="AO46" s="3253"/>
      <c r="AP46" s="3251"/>
      <c r="AQ46" s="3253"/>
      <c r="AR46" s="3264"/>
      <c r="AS46" s="3253"/>
      <c r="AT46" s="3251"/>
      <c r="AU46" s="3253"/>
      <c r="AV46" s="3264"/>
      <c r="AW46" s="3253"/>
      <c r="AX46" s="3264"/>
      <c r="AY46" s="3253"/>
      <c r="AZ46" s="3264"/>
      <c r="BA46" s="3235"/>
      <c r="BB46" s="3235"/>
      <c r="BC46" s="3282"/>
      <c r="BD46" s="3264"/>
      <c r="BE46" s="3285"/>
      <c r="BF46" s="3267"/>
      <c r="BG46" s="3269"/>
      <c r="BH46" s="3271"/>
      <c r="BI46" s="3273"/>
      <c r="BJ46" s="3241"/>
    </row>
    <row r="47" spans="1:64" ht="49.5" customHeight="1" x14ac:dyDescent="0.2">
      <c r="A47" s="3139"/>
      <c r="B47" s="3140"/>
      <c r="C47" s="3141"/>
      <c r="D47" s="3143"/>
      <c r="E47" s="3140"/>
      <c r="F47" s="3141"/>
      <c r="G47" s="3143"/>
      <c r="H47" s="3140"/>
      <c r="I47" s="3141"/>
      <c r="J47" s="3247">
        <v>227</v>
      </c>
      <c r="K47" s="3185" t="s">
        <v>513</v>
      </c>
      <c r="L47" s="3249" t="s">
        <v>522</v>
      </c>
      <c r="M47" s="3166">
        <v>12</v>
      </c>
      <c r="N47" s="3277">
        <v>6</v>
      </c>
      <c r="O47" s="3228"/>
      <c r="P47" s="3183"/>
      <c r="Q47" s="3244"/>
      <c r="R47" s="3278">
        <f>+(W47+W48+W49+W50)/S45</f>
        <v>0.83039924018859601</v>
      </c>
      <c r="S47" s="3205"/>
      <c r="T47" s="3190"/>
      <c r="U47" s="3246"/>
      <c r="V47" s="2269" t="s">
        <v>528</v>
      </c>
      <c r="W47" s="2270">
        <v>10000000</v>
      </c>
      <c r="X47" s="2271">
        <v>8868300</v>
      </c>
      <c r="Y47" s="2271">
        <v>8868300</v>
      </c>
      <c r="Z47" s="3258"/>
      <c r="AA47" s="3261"/>
      <c r="AB47" s="3251"/>
      <c r="AC47" s="3253"/>
      <c r="AD47" s="3251"/>
      <c r="AE47" s="3253"/>
      <c r="AF47" s="3251"/>
      <c r="AG47" s="3253"/>
      <c r="AH47" s="3251"/>
      <c r="AI47" s="3253"/>
      <c r="AJ47" s="3251"/>
      <c r="AK47" s="3253"/>
      <c r="AL47" s="3251"/>
      <c r="AM47" s="3253"/>
      <c r="AN47" s="3251"/>
      <c r="AO47" s="3253"/>
      <c r="AP47" s="3251"/>
      <c r="AQ47" s="3253"/>
      <c r="AR47" s="3264"/>
      <c r="AS47" s="3253"/>
      <c r="AT47" s="3251"/>
      <c r="AU47" s="3253"/>
      <c r="AV47" s="3264"/>
      <c r="AW47" s="3253"/>
      <c r="AX47" s="3264"/>
      <c r="AY47" s="3253"/>
      <c r="AZ47" s="3264"/>
      <c r="BA47" s="3235"/>
      <c r="BB47" s="3235"/>
      <c r="BC47" s="3282"/>
      <c r="BD47" s="3264"/>
      <c r="BE47" s="3285"/>
      <c r="BF47" s="798">
        <v>42444</v>
      </c>
      <c r="BG47" s="799">
        <v>42444</v>
      </c>
      <c r="BH47" s="800">
        <v>42638</v>
      </c>
      <c r="BI47" s="801">
        <v>42633</v>
      </c>
      <c r="BJ47" s="3241"/>
    </row>
    <row r="48" spans="1:64" ht="49.5" customHeight="1" x14ac:dyDescent="0.2">
      <c r="A48" s="3139"/>
      <c r="B48" s="3140"/>
      <c r="C48" s="3141"/>
      <c r="D48" s="3143"/>
      <c r="E48" s="3140"/>
      <c r="F48" s="3141"/>
      <c r="G48" s="3143"/>
      <c r="H48" s="3140"/>
      <c r="I48" s="3141"/>
      <c r="J48" s="3274"/>
      <c r="K48" s="3300"/>
      <c r="L48" s="3275"/>
      <c r="M48" s="3276"/>
      <c r="N48" s="3277"/>
      <c r="O48" s="3228"/>
      <c r="P48" s="3183"/>
      <c r="Q48" s="3244"/>
      <c r="R48" s="3279"/>
      <c r="S48" s="3205"/>
      <c r="T48" s="3190"/>
      <c r="U48" s="3246"/>
      <c r="V48" s="802" t="s">
        <v>529</v>
      </c>
      <c r="W48" s="2270">
        <v>8962000</v>
      </c>
      <c r="X48" s="2271">
        <v>8962000</v>
      </c>
      <c r="Y48" s="2271">
        <v>8962000</v>
      </c>
      <c r="Z48" s="3258"/>
      <c r="AA48" s="3261"/>
      <c r="AB48" s="3251"/>
      <c r="AC48" s="3253"/>
      <c r="AD48" s="3251"/>
      <c r="AE48" s="3253"/>
      <c r="AF48" s="3251"/>
      <c r="AG48" s="3253"/>
      <c r="AH48" s="3251"/>
      <c r="AI48" s="3253"/>
      <c r="AJ48" s="3251"/>
      <c r="AK48" s="3253"/>
      <c r="AL48" s="3251"/>
      <c r="AM48" s="3253"/>
      <c r="AN48" s="3251"/>
      <c r="AO48" s="3253"/>
      <c r="AP48" s="3251"/>
      <c r="AQ48" s="3253"/>
      <c r="AR48" s="3264"/>
      <c r="AS48" s="3253"/>
      <c r="AT48" s="3251"/>
      <c r="AU48" s="3253"/>
      <c r="AV48" s="3264"/>
      <c r="AW48" s="3253"/>
      <c r="AX48" s="3264"/>
      <c r="AY48" s="3253"/>
      <c r="AZ48" s="3264"/>
      <c r="BA48" s="3235"/>
      <c r="BB48" s="3235"/>
      <c r="BC48" s="3282"/>
      <c r="BD48" s="3264"/>
      <c r="BE48" s="3285"/>
      <c r="BF48" s="798">
        <v>42415</v>
      </c>
      <c r="BG48" s="799">
        <v>42420</v>
      </c>
      <c r="BH48" s="800">
        <v>42536</v>
      </c>
      <c r="BI48" s="801">
        <v>42536</v>
      </c>
      <c r="BJ48" s="3241"/>
    </row>
    <row r="49" spans="1:62" ht="50.25" customHeight="1" x14ac:dyDescent="0.2">
      <c r="A49" s="3139"/>
      <c r="B49" s="3140"/>
      <c r="C49" s="3141"/>
      <c r="D49" s="3143"/>
      <c r="E49" s="3140"/>
      <c r="F49" s="3141"/>
      <c r="G49" s="3143"/>
      <c r="H49" s="3140"/>
      <c r="I49" s="3141"/>
      <c r="J49" s="3274"/>
      <c r="K49" s="3300"/>
      <c r="L49" s="3275"/>
      <c r="M49" s="3276"/>
      <c r="N49" s="3277"/>
      <c r="O49" s="3228"/>
      <c r="P49" s="3183"/>
      <c r="Q49" s="3244"/>
      <c r="R49" s="3279"/>
      <c r="S49" s="3205"/>
      <c r="T49" s="3190"/>
      <c r="U49" s="3246"/>
      <c r="V49" s="802" t="s">
        <v>530</v>
      </c>
      <c r="W49" s="2270">
        <v>15000000</v>
      </c>
      <c r="X49" s="2271">
        <v>7470000</v>
      </c>
      <c r="Y49" s="2271">
        <v>7470000</v>
      </c>
      <c r="Z49" s="3258"/>
      <c r="AA49" s="3261"/>
      <c r="AB49" s="3251"/>
      <c r="AC49" s="3253"/>
      <c r="AD49" s="3251"/>
      <c r="AE49" s="3253"/>
      <c r="AF49" s="3251"/>
      <c r="AG49" s="3253"/>
      <c r="AH49" s="3251"/>
      <c r="AI49" s="3253"/>
      <c r="AJ49" s="3251"/>
      <c r="AK49" s="3253"/>
      <c r="AL49" s="3251"/>
      <c r="AM49" s="3253"/>
      <c r="AN49" s="3251"/>
      <c r="AO49" s="3253"/>
      <c r="AP49" s="3251"/>
      <c r="AQ49" s="3253"/>
      <c r="AR49" s="3264"/>
      <c r="AS49" s="3253"/>
      <c r="AT49" s="3251"/>
      <c r="AU49" s="3253"/>
      <c r="AV49" s="3264"/>
      <c r="AW49" s="3253"/>
      <c r="AX49" s="3264"/>
      <c r="AY49" s="3253"/>
      <c r="AZ49" s="3264"/>
      <c r="BA49" s="3235"/>
      <c r="BB49" s="3235"/>
      <c r="BC49" s="3282"/>
      <c r="BD49" s="3264"/>
      <c r="BE49" s="3285"/>
      <c r="BF49" s="798">
        <v>42510</v>
      </c>
      <c r="BG49" s="799">
        <v>42444</v>
      </c>
      <c r="BH49" s="800">
        <v>42719</v>
      </c>
      <c r="BI49" s="801">
        <v>42719</v>
      </c>
      <c r="BJ49" s="3241"/>
    </row>
    <row r="50" spans="1:62" ht="42.75" x14ac:dyDescent="0.2">
      <c r="A50" s="3139"/>
      <c r="B50" s="3140"/>
      <c r="C50" s="3141"/>
      <c r="D50" s="3144"/>
      <c r="E50" s="3145"/>
      <c r="F50" s="3146"/>
      <c r="G50" s="3144"/>
      <c r="H50" s="3145"/>
      <c r="I50" s="3146"/>
      <c r="J50" s="3248"/>
      <c r="K50" s="3301"/>
      <c r="L50" s="3250"/>
      <c r="M50" s="3167"/>
      <c r="N50" s="3164"/>
      <c r="O50" s="3240"/>
      <c r="P50" s="3214"/>
      <c r="Q50" s="3244"/>
      <c r="R50" s="3280"/>
      <c r="S50" s="3206"/>
      <c r="T50" s="3190"/>
      <c r="U50" s="3246"/>
      <c r="V50" s="802" t="s">
        <v>531</v>
      </c>
      <c r="W50" s="1271">
        <v>15000000</v>
      </c>
      <c r="X50" s="2271">
        <v>15000000</v>
      </c>
      <c r="Y50" s="2271">
        <v>15000000</v>
      </c>
      <c r="Z50" s="3259"/>
      <c r="AA50" s="3262"/>
      <c r="AB50" s="3251"/>
      <c r="AC50" s="3254"/>
      <c r="AD50" s="3251"/>
      <c r="AE50" s="3254"/>
      <c r="AF50" s="3251"/>
      <c r="AG50" s="3254"/>
      <c r="AH50" s="3251"/>
      <c r="AI50" s="3254"/>
      <c r="AJ50" s="3251"/>
      <c r="AK50" s="3254"/>
      <c r="AL50" s="3251"/>
      <c r="AM50" s="3254"/>
      <c r="AN50" s="3251"/>
      <c r="AO50" s="3254"/>
      <c r="AP50" s="3251"/>
      <c r="AQ50" s="3254"/>
      <c r="AR50" s="3265"/>
      <c r="AS50" s="3254"/>
      <c r="AT50" s="3251"/>
      <c r="AU50" s="3254"/>
      <c r="AV50" s="3265"/>
      <c r="AW50" s="3254"/>
      <c r="AX50" s="3265"/>
      <c r="AY50" s="3254"/>
      <c r="AZ50" s="3265"/>
      <c r="BA50" s="3235"/>
      <c r="BB50" s="3235"/>
      <c r="BC50" s="3283"/>
      <c r="BD50" s="3265"/>
      <c r="BE50" s="3286"/>
      <c r="BF50" s="798">
        <v>42512</v>
      </c>
      <c r="BG50" s="799">
        <v>42444</v>
      </c>
      <c r="BH50" s="800">
        <v>42658</v>
      </c>
      <c r="BI50" s="801">
        <v>42724</v>
      </c>
      <c r="BJ50" s="3241"/>
    </row>
    <row r="51" spans="1:62" ht="32.25" customHeight="1" x14ac:dyDescent="0.2">
      <c r="A51" s="3139"/>
      <c r="B51" s="3140"/>
      <c r="C51" s="3141"/>
      <c r="D51" s="803">
        <v>25</v>
      </c>
      <c r="E51" s="804" t="s">
        <v>532</v>
      </c>
      <c r="F51" s="805"/>
      <c r="G51" s="805"/>
      <c r="H51" s="805"/>
      <c r="I51" s="805"/>
      <c r="J51" s="805"/>
      <c r="K51" s="4877"/>
      <c r="L51" s="805"/>
      <c r="M51" s="805"/>
      <c r="N51" s="1885"/>
      <c r="O51" s="805"/>
      <c r="P51" s="805"/>
      <c r="Q51" s="805"/>
      <c r="R51" s="805"/>
      <c r="S51" s="805"/>
      <c r="T51" s="805"/>
      <c r="U51" s="805"/>
      <c r="V51" s="805"/>
      <c r="W51" s="805"/>
      <c r="X51" s="806"/>
      <c r="Y51" s="806"/>
      <c r="Z51" s="805"/>
      <c r="AA51" s="805"/>
      <c r="AB51" s="805"/>
      <c r="AC51" s="806"/>
      <c r="AD51" s="805"/>
      <c r="AE51" s="806"/>
      <c r="AF51" s="805"/>
      <c r="AG51" s="806"/>
      <c r="AH51" s="805"/>
      <c r="AI51" s="806"/>
      <c r="AJ51" s="805"/>
      <c r="AK51" s="806"/>
      <c r="AL51" s="805"/>
      <c r="AM51" s="806"/>
      <c r="AN51" s="805"/>
      <c r="AO51" s="806"/>
      <c r="AP51" s="805"/>
      <c r="AQ51" s="806"/>
      <c r="AR51" s="805"/>
      <c r="AS51" s="806"/>
      <c r="AT51" s="805"/>
      <c r="AU51" s="806"/>
      <c r="AV51" s="805"/>
      <c r="AW51" s="806"/>
      <c r="AX51" s="805"/>
      <c r="AY51" s="806"/>
      <c r="AZ51" s="805"/>
      <c r="BA51" s="805"/>
      <c r="BB51" s="805"/>
      <c r="BC51" s="805"/>
      <c r="BD51" s="805"/>
      <c r="BE51" s="805"/>
      <c r="BF51" s="805"/>
      <c r="BG51" s="806"/>
      <c r="BH51" s="805"/>
      <c r="BI51" s="806"/>
      <c r="BJ51" s="807"/>
    </row>
    <row r="52" spans="1:62" ht="32.25" customHeight="1" x14ac:dyDescent="0.2">
      <c r="A52" s="3139"/>
      <c r="B52" s="3140"/>
      <c r="C52" s="3141"/>
      <c r="D52" s="3147"/>
      <c r="E52" s="3148"/>
      <c r="F52" s="3149"/>
      <c r="G52" s="808">
        <v>79</v>
      </c>
      <c r="H52" s="791" t="s">
        <v>533</v>
      </c>
      <c r="I52" s="809"/>
      <c r="J52" s="809"/>
      <c r="K52" s="4878"/>
      <c r="L52" s="809"/>
      <c r="M52" s="809"/>
      <c r="N52" s="1882"/>
      <c r="O52" s="809"/>
      <c r="P52" s="809"/>
      <c r="Q52" s="809"/>
      <c r="R52" s="809"/>
      <c r="S52" s="809"/>
      <c r="T52" s="809"/>
      <c r="U52" s="809"/>
      <c r="V52" s="809"/>
      <c r="W52" s="809"/>
      <c r="X52" s="792"/>
      <c r="Y52" s="792"/>
      <c r="Z52" s="809"/>
      <c r="AA52" s="809"/>
      <c r="AB52" s="809"/>
      <c r="AC52" s="792"/>
      <c r="AD52" s="809"/>
      <c r="AE52" s="792"/>
      <c r="AF52" s="809"/>
      <c r="AG52" s="792"/>
      <c r="AH52" s="809"/>
      <c r="AI52" s="792"/>
      <c r="AJ52" s="809"/>
      <c r="AK52" s="792"/>
      <c r="AL52" s="809"/>
      <c r="AM52" s="792"/>
      <c r="AN52" s="809"/>
      <c r="AO52" s="792"/>
      <c r="AP52" s="809"/>
      <c r="AQ52" s="792"/>
      <c r="AR52" s="809"/>
      <c r="AS52" s="792"/>
      <c r="AT52" s="809"/>
      <c r="AU52" s="792"/>
      <c r="AV52" s="809"/>
      <c r="AW52" s="792"/>
      <c r="AX52" s="809"/>
      <c r="AY52" s="792"/>
      <c r="AZ52" s="809"/>
      <c r="BA52" s="809"/>
      <c r="BB52" s="809"/>
      <c r="BC52" s="809"/>
      <c r="BD52" s="809"/>
      <c r="BE52" s="809"/>
      <c r="BF52" s="809"/>
      <c r="BG52" s="792"/>
      <c r="BH52" s="809"/>
      <c r="BI52" s="792"/>
      <c r="BJ52" s="793"/>
    </row>
    <row r="53" spans="1:62" ht="79.5" customHeight="1" x14ac:dyDescent="0.2">
      <c r="A53" s="3139"/>
      <c r="B53" s="3140"/>
      <c r="C53" s="3141"/>
      <c r="D53" s="3143"/>
      <c r="E53" s="3140"/>
      <c r="F53" s="3141"/>
      <c r="G53" s="3291"/>
      <c r="H53" s="3292"/>
      <c r="I53" s="3293"/>
      <c r="J53" s="779">
        <v>231</v>
      </c>
      <c r="K53" s="810" t="s">
        <v>534</v>
      </c>
      <c r="L53" s="780" t="s">
        <v>453</v>
      </c>
      <c r="M53" s="2275">
        <v>1</v>
      </c>
      <c r="N53" s="2230">
        <v>0</v>
      </c>
      <c r="O53" s="3157" t="s">
        <v>535</v>
      </c>
      <c r="P53" s="3182">
        <v>32</v>
      </c>
      <c r="Q53" s="3185" t="s">
        <v>536</v>
      </c>
      <c r="R53" s="2272">
        <f>+(W53)/(S53+S54+S55)</f>
        <v>0.17543859649122806</v>
      </c>
      <c r="S53" s="766">
        <v>3000000</v>
      </c>
      <c r="T53" s="3152" t="s">
        <v>537</v>
      </c>
      <c r="U53" s="3152" t="s">
        <v>538</v>
      </c>
      <c r="V53" s="802" t="s">
        <v>539</v>
      </c>
      <c r="W53" s="2270">
        <v>3000000</v>
      </c>
      <c r="X53" s="2271">
        <v>0</v>
      </c>
      <c r="Y53" s="2271">
        <v>0</v>
      </c>
      <c r="Z53" s="3257">
        <v>20</v>
      </c>
      <c r="AA53" s="3150" t="s">
        <v>130</v>
      </c>
      <c r="AB53" s="3162">
        <v>367</v>
      </c>
      <c r="AC53" s="3288">
        <v>242</v>
      </c>
      <c r="AD53" s="3162">
        <v>414</v>
      </c>
      <c r="AE53" s="3288">
        <v>272</v>
      </c>
      <c r="AF53" s="3162">
        <v>157</v>
      </c>
      <c r="AG53" s="3288">
        <v>104</v>
      </c>
      <c r="AH53" s="3162">
        <v>497</v>
      </c>
      <c r="AI53" s="3288">
        <v>327</v>
      </c>
      <c r="AJ53" s="3162">
        <v>1355</v>
      </c>
      <c r="AK53" s="3288">
        <v>891</v>
      </c>
      <c r="AL53" s="3162"/>
      <c r="AM53" s="3288"/>
      <c r="AN53" s="3162"/>
      <c r="AO53" s="3288"/>
      <c r="AP53" s="3305">
        <v>466</v>
      </c>
      <c r="AQ53" s="3288">
        <v>307</v>
      </c>
      <c r="AR53" s="3305"/>
      <c r="AS53" s="3288"/>
      <c r="AT53" s="3311"/>
      <c r="AU53" s="3308"/>
      <c r="AV53" s="2242"/>
      <c r="AW53" s="3308"/>
      <c r="AX53" s="2242"/>
      <c r="AY53" s="3308"/>
      <c r="AZ53" s="3311">
        <v>4</v>
      </c>
      <c r="BA53" s="3187">
        <f>SUM(X53:$X$56)</f>
        <v>13699630</v>
      </c>
      <c r="BB53" s="3187">
        <f>SUM(Y53:$Y$56)</f>
        <v>13699630</v>
      </c>
      <c r="BC53" s="3314">
        <f>BB53/BA53</f>
        <v>1</v>
      </c>
      <c r="BD53" s="3311">
        <v>20</v>
      </c>
      <c r="BE53" s="3150" t="s">
        <v>503</v>
      </c>
      <c r="BF53" s="2260">
        <v>42628</v>
      </c>
      <c r="BG53" s="2262"/>
      <c r="BH53" s="2264">
        <v>42716</v>
      </c>
      <c r="BI53" s="2266"/>
      <c r="BJ53" s="3150" t="s">
        <v>460</v>
      </c>
    </row>
    <row r="54" spans="1:62" ht="71.25" x14ac:dyDescent="0.2">
      <c r="A54" s="3139"/>
      <c r="B54" s="3140"/>
      <c r="C54" s="3141"/>
      <c r="D54" s="3143"/>
      <c r="E54" s="3140"/>
      <c r="F54" s="3141"/>
      <c r="G54" s="3294"/>
      <c r="H54" s="3295"/>
      <c r="I54" s="3296"/>
      <c r="J54" s="779">
        <v>232</v>
      </c>
      <c r="K54" s="810" t="s">
        <v>540</v>
      </c>
      <c r="L54" s="780" t="s">
        <v>453</v>
      </c>
      <c r="M54" s="2275">
        <v>12</v>
      </c>
      <c r="N54" s="2230">
        <v>6</v>
      </c>
      <c r="O54" s="3158"/>
      <c r="P54" s="3183"/>
      <c r="Q54" s="3300"/>
      <c r="R54" s="2272">
        <f>+(W54)/(S53+S54+S55)</f>
        <v>0.26315789473684209</v>
      </c>
      <c r="S54" s="766">
        <v>4500000</v>
      </c>
      <c r="T54" s="3191"/>
      <c r="U54" s="3191"/>
      <c r="V54" s="802" t="s">
        <v>541</v>
      </c>
      <c r="W54" s="2270">
        <v>4500000</v>
      </c>
      <c r="X54" s="2271">
        <v>4499630</v>
      </c>
      <c r="Y54" s="2271">
        <v>4499630</v>
      </c>
      <c r="Z54" s="3258"/>
      <c r="AA54" s="3160"/>
      <c r="AB54" s="3287"/>
      <c r="AC54" s="3289"/>
      <c r="AD54" s="3287"/>
      <c r="AE54" s="3289"/>
      <c r="AF54" s="3287"/>
      <c r="AG54" s="3289"/>
      <c r="AH54" s="3287"/>
      <c r="AI54" s="3289"/>
      <c r="AJ54" s="3287"/>
      <c r="AK54" s="3289"/>
      <c r="AL54" s="3287"/>
      <c r="AM54" s="3289"/>
      <c r="AN54" s="3287"/>
      <c r="AO54" s="3289"/>
      <c r="AP54" s="3306"/>
      <c r="AQ54" s="3289"/>
      <c r="AR54" s="3306"/>
      <c r="AS54" s="3289"/>
      <c r="AT54" s="3312"/>
      <c r="AU54" s="3309"/>
      <c r="AV54" s="2243"/>
      <c r="AW54" s="3309"/>
      <c r="AX54" s="2243"/>
      <c r="AY54" s="3309"/>
      <c r="AZ54" s="3312"/>
      <c r="BA54" s="3188"/>
      <c r="BB54" s="3188"/>
      <c r="BC54" s="3315"/>
      <c r="BD54" s="3312"/>
      <c r="BE54" s="3160"/>
      <c r="BF54" s="798">
        <v>42628</v>
      </c>
      <c r="BG54" s="799">
        <v>42592</v>
      </c>
      <c r="BH54" s="800">
        <v>42716</v>
      </c>
      <c r="BI54" s="801">
        <v>42724</v>
      </c>
      <c r="BJ54" s="3160"/>
    </row>
    <row r="55" spans="1:62" ht="42.75" x14ac:dyDescent="0.2">
      <c r="A55" s="3139"/>
      <c r="B55" s="3140"/>
      <c r="C55" s="3141"/>
      <c r="D55" s="3143"/>
      <c r="E55" s="3140"/>
      <c r="F55" s="3141"/>
      <c r="G55" s="3294"/>
      <c r="H55" s="3295"/>
      <c r="I55" s="3296"/>
      <c r="J55" s="3224">
        <v>233</v>
      </c>
      <c r="K55" s="4879" t="s">
        <v>542</v>
      </c>
      <c r="L55" s="3161" t="s">
        <v>453</v>
      </c>
      <c r="M55" s="3162">
        <v>1</v>
      </c>
      <c r="N55" s="3156">
        <v>0.5</v>
      </c>
      <c r="O55" s="3158"/>
      <c r="P55" s="3183"/>
      <c r="Q55" s="3300"/>
      <c r="R55" s="3278">
        <f>+(W55+W56)/(S53+S54+S55)</f>
        <v>0.56140350877192979</v>
      </c>
      <c r="S55" s="3187">
        <v>9600000</v>
      </c>
      <c r="T55" s="3191"/>
      <c r="U55" s="3191"/>
      <c r="V55" s="802" t="s">
        <v>543</v>
      </c>
      <c r="W55" s="2270">
        <v>3600000</v>
      </c>
      <c r="X55" s="2271">
        <v>3200000</v>
      </c>
      <c r="Y55" s="2271">
        <v>3200000</v>
      </c>
      <c r="Z55" s="3258"/>
      <c r="AA55" s="3160"/>
      <c r="AB55" s="3287"/>
      <c r="AC55" s="3289"/>
      <c r="AD55" s="3287"/>
      <c r="AE55" s="3289"/>
      <c r="AF55" s="3287"/>
      <c r="AG55" s="3289"/>
      <c r="AH55" s="3287"/>
      <c r="AI55" s="3289"/>
      <c r="AJ55" s="3287"/>
      <c r="AK55" s="3289"/>
      <c r="AL55" s="3287"/>
      <c r="AM55" s="3289"/>
      <c r="AN55" s="3287"/>
      <c r="AO55" s="3289"/>
      <c r="AP55" s="3306"/>
      <c r="AQ55" s="3289"/>
      <c r="AR55" s="3306"/>
      <c r="AS55" s="3289"/>
      <c r="AT55" s="3312"/>
      <c r="AU55" s="3309"/>
      <c r="AV55" s="2243"/>
      <c r="AW55" s="3309"/>
      <c r="AX55" s="2243"/>
      <c r="AY55" s="3309"/>
      <c r="AZ55" s="3312"/>
      <c r="BA55" s="3188"/>
      <c r="BB55" s="3188"/>
      <c r="BC55" s="3315"/>
      <c r="BD55" s="3312"/>
      <c r="BE55" s="3160"/>
      <c r="BF55" s="798">
        <v>42592</v>
      </c>
      <c r="BG55" s="799">
        <v>42593</v>
      </c>
      <c r="BH55" s="800">
        <v>42719</v>
      </c>
      <c r="BI55" s="801">
        <v>42725</v>
      </c>
      <c r="BJ55" s="3160"/>
    </row>
    <row r="56" spans="1:62" ht="71.25" x14ac:dyDescent="0.2">
      <c r="A56" s="3139"/>
      <c r="B56" s="3140"/>
      <c r="C56" s="3141"/>
      <c r="D56" s="3143"/>
      <c r="E56" s="3140"/>
      <c r="F56" s="3141"/>
      <c r="G56" s="3294"/>
      <c r="H56" s="3295"/>
      <c r="I56" s="3296"/>
      <c r="J56" s="3226"/>
      <c r="K56" s="4880"/>
      <c r="L56" s="3165"/>
      <c r="M56" s="3168"/>
      <c r="N56" s="3156"/>
      <c r="O56" s="3159"/>
      <c r="P56" s="3214"/>
      <c r="Q56" s="3301"/>
      <c r="R56" s="3280"/>
      <c r="S56" s="3189"/>
      <c r="T56" s="3153"/>
      <c r="U56" s="3153"/>
      <c r="V56" s="802" t="s">
        <v>544</v>
      </c>
      <c r="W56" s="2270">
        <v>6000000</v>
      </c>
      <c r="X56" s="2271">
        <v>6000000</v>
      </c>
      <c r="Y56" s="2271">
        <v>6000000</v>
      </c>
      <c r="Z56" s="3259"/>
      <c r="AA56" s="3151"/>
      <c r="AB56" s="3168"/>
      <c r="AC56" s="3290"/>
      <c r="AD56" s="3168"/>
      <c r="AE56" s="3290"/>
      <c r="AF56" s="3168"/>
      <c r="AG56" s="3290"/>
      <c r="AH56" s="3168"/>
      <c r="AI56" s="3290"/>
      <c r="AJ56" s="3168"/>
      <c r="AK56" s="3290"/>
      <c r="AL56" s="3168"/>
      <c r="AM56" s="3290"/>
      <c r="AN56" s="3168"/>
      <c r="AO56" s="3290"/>
      <c r="AP56" s="3307"/>
      <c r="AQ56" s="3290"/>
      <c r="AR56" s="3307"/>
      <c r="AS56" s="3290"/>
      <c r="AT56" s="3313"/>
      <c r="AU56" s="3310"/>
      <c r="AV56" s="2244"/>
      <c r="AW56" s="3310"/>
      <c r="AX56" s="2244"/>
      <c r="AY56" s="3310"/>
      <c r="AZ56" s="3313"/>
      <c r="BA56" s="3189"/>
      <c r="BB56" s="3189"/>
      <c r="BC56" s="3316"/>
      <c r="BD56" s="3313"/>
      <c r="BE56" s="3160"/>
      <c r="BF56" s="798">
        <v>42592</v>
      </c>
      <c r="BG56" s="799">
        <v>42594</v>
      </c>
      <c r="BH56" s="800">
        <v>42719</v>
      </c>
      <c r="BI56" s="801">
        <v>42726</v>
      </c>
      <c r="BJ56" s="3160"/>
    </row>
    <row r="57" spans="1:62" ht="64.5" customHeight="1" x14ac:dyDescent="0.2">
      <c r="A57" s="3139"/>
      <c r="B57" s="3140"/>
      <c r="C57" s="3141"/>
      <c r="D57" s="3143"/>
      <c r="E57" s="3140"/>
      <c r="F57" s="3141"/>
      <c r="G57" s="3294"/>
      <c r="H57" s="3295"/>
      <c r="I57" s="3296"/>
      <c r="J57" s="812">
        <v>233</v>
      </c>
      <c r="K57" s="813" t="s">
        <v>542</v>
      </c>
      <c r="L57" s="814" t="s">
        <v>522</v>
      </c>
      <c r="M57" s="815">
        <v>1</v>
      </c>
      <c r="N57" s="2230">
        <v>0.5</v>
      </c>
      <c r="O57" s="3227" t="s">
        <v>545</v>
      </c>
      <c r="P57" s="3182">
        <v>33</v>
      </c>
      <c r="Q57" s="3185" t="s">
        <v>546</v>
      </c>
      <c r="R57" s="2272">
        <f>+(W57+W58)/S57</f>
        <v>0.79365079365079361</v>
      </c>
      <c r="S57" s="3302">
        <v>18900000</v>
      </c>
      <c r="T57" s="3190" t="s">
        <v>525</v>
      </c>
      <c r="U57" s="3190" t="s">
        <v>547</v>
      </c>
      <c r="V57" s="802" t="s">
        <v>548</v>
      </c>
      <c r="W57" s="1263">
        <v>5000000</v>
      </c>
      <c r="X57" s="2271">
        <v>4533500</v>
      </c>
      <c r="Y57" s="2271">
        <v>4533500</v>
      </c>
      <c r="Z57" s="3311">
        <v>20</v>
      </c>
      <c r="AA57" s="3260" t="s">
        <v>130</v>
      </c>
      <c r="AB57" s="3251">
        <v>67</v>
      </c>
      <c r="AC57" s="3252">
        <v>67</v>
      </c>
      <c r="AD57" s="3251">
        <v>92</v>
      </c>
      <c r="AE57" s="3317">
        <v>92</v>
      </c>
      <c r="AF57" s="3251">
        <v>88</v>
      </c>
      <c r="AG57" s="3252">
        <v>88</v>
      </c>
      <c r="AH57" s="3251">
        <v>137</v>
      </c>
      <c r="AI57" s="3252">
        <v>137</v>
      </c>
      <c r="AJ57" s="3251">
        <v>30</v>
      </c>
      <c r="AK57" s="3252">
        <v>30</v>
      </c>
      <c r="AL57" s="3251">
        <v>58</v>
      </c>
      <c r="AM57" s="3252">
        <v>58</v>
      </c>
      <c r="AN57" s="3251"/>
      <c r="AO57" s="3252"/>
      <c r="AP57" s="3251"/>
      <c r="AQ57" s="3252"/>
      <c r="AR57" s="3263"/>
      <c r="AS57" s="3252"/>
      <c r="AT57" s="3251">
        <v>472</v>
      </c>
      <c r="AU57" s="3252">
        <v>472</v>
      </c>
      <c r="AV57" s="3263"/>
      <c r="AW57" s="3252"/>
      <c r="AX57" s="3263"/>
      <c r="AY57" s="3252"/>
      <c r="AZ57" s="3263">
        <v>3</v>
      </c>
      <c r="BA57" s="3187">
        <f>SUM(X57:$X$59)</f>
        <v>18433500</v>
      </c>
      <c r="BB57" s="3187">
        <f>SUM($Y$57:$Y$59)</f>
        <v>18433500</v>
      </c>
      <c r="BC57" s="3281">
        <f>+BB57/BA57</f>
        <v>1</v>
      </c>
      <c r="BD57" s="3263">
        <v>20</v>
      </c>
      <c r="BE57" s="3160"/>
      <c r="BF57" s="798">
        <v>42410</v>
      </c>
      <c r="BG57" s="799">
        <v>42410</v>
      </c>
      <c r="BH57" s="800">
        <v>42543</v>
      </c>
      <c r="BI57" s="801" t="s">
        <v>549</v>
      </c>
      <c r="BJ57" s="3160"/>
    </row>
    <row r="58" spans="1:62" ht="40.5" customHeight="1" x14ac:dyDescent="0.2">
      <c r="A58" s="3139"/>
      <c r="B58" s="3140"/>
      <c r="C58" s="3141"/>
      <c r="D58" s="3143"/>
      <c r="E58" s="3140"/>
      <c r="F58" s="3141"/>
      <c r="G58" s="3294"/>
      <c r="H58" s="3295"/>
      <c r="I58" s="3296"/>
      <c r="J58" s="3318">
        <v>232</v>
      </c>
      <c r="K58" s="4879" t="s">
        <v>540</v>
      </c>
      <c r="L58" s="3249" t="s">
        <v>522</v>
      </c>
      <c r="M58" s="3166">
        <v>12</v>
      </c>
      <c r="N58" s="3163">
        <v>6</v>
      </c>
      <c r="O58" s="3228"/>
      <c r="P58" s="3183"/>
      <c r="Q58" s="3300"/>
      <c r="R58" s="3278">
        <f>+(W59)/S57</f>
        <v>0.20634920634920634</v>
      </c>
      <c r="S58" s="3303"/>
      <c r="T58" s="3190"/>
      <c r="U58" s="3190"/>
      <c r="V58" s="802" t="s">
        <v>550</v>
      </c>
      <c r="W58" s="1263">
        <v>10000000</v>
      </c>
      <c r="X58" s="2271">
        <v>10000000</v>
      </c>
      <c r="Y58" s="2271">
        <v>10000000</v>
      </c>
      <c r="Z58" s="3312"/>
      <c r="AA58" s="3261"/>
      <c r="AB58" s="3251"/>
      <c r="AC58" s="3253"/>
      <c r="AD58" s="3251"/>
      <c r="AE58" s="3317"/>
      <c r="AF58" s="3251"/>
      <c r="AG58" s="3253"/>
      <c r="AH58" s="3251"/>
      <c r="AI58" s="3253"/>
      <c r="AJ58" s="3251"/>
      <c r="AK58" s="3253"/>
      <c r="AL58" s="3251"/>
      <c r="AM58" s="3253"/>
      <c r="AN58" s="3251"/>
      <c r="AO58" s="3253"/>
      <c r="AP58" s="3251"/>
      <c r="AQ58" s="3253"/>
      <c r="AR58" s="3264"/>
      <c r="AS58" s="3253"/>
      <c r="AT58" s="3251"/>
      <c r="AU58" s="3253"/>
      <c r="AV58" s="3264"/>
      <c r="AW58" s="3253"/>
      <c r="AX58" s="3264"/>
      <c r="AY58" s="3253"/>
      <c r="AZ58" s="3264"/>
      <c r="BA58" s="3188"/>
      <c r="BB58" s="3188"/>
      <c r="BC58" s="3282"/>
      <c r="BD58" s="3264"/>
      <c r="BE58" s="3160"/>
      <c r="BF58" s="798">
        <v>42444</v>
      </c>
      <c r="BG58" s="799">
        <v>42444</v>
      </c>
      <c r="BH58" s="800">
        <v>42638</v>
      </c>
      <c r="BI58" s="801">
        <v>42639</v>
      </c>
      <c r="BJ58" s="3160"/>
    </row>
    <row r="59" spans="1:62" ht="84" customHeight="1" x14ac:dyDescent="0.2">
      <c r="A59" s="3139"/>
      <c r="B59" s="3140"/>
      <c r="C59" s="3141"/>
      <c r="D59" s="3143"/>
      <c r="E59" s="3140"/>
      <c r="F59" s="3141"/>
      <c r="G59" s="3297"/>
      <c r="H59" s="3298"/>
      <c r="I59" s="3299"/>
      <c r="J59" s="3319"/>
      <c r="K59" s="4880"/>
      <c r="L59" s="3250"/>
      <c r="M59" s="3167"/>
      <c r="N59" s="3164"/>
      <c r="O59" s="3240"/>
      <c r="P59" s="3214"/>
      <c r="Q59" s="3300"/>
      <c r="R59" s="3280"/>
      <c r="S59" s="3304"/>
      <c r="T59" s="3190"/>
      <c r="U59" s="3190"/>
      <c r="V59" s="802" t="s">
        <v>551</v>
      </c>
      <c r="W59" s="1263">
        <v>3900000</v>
      </c>
      <c r="X59" s="2271">
        <v>3900000</v>
      </c>
      <c r="Y59" s="2271">
        <v>3900000</v>
      </c>
      <c r="Z59" s="3313"/>
      <c r="AA59" s="3262"/>
      <c r="AB59" s="3251"/>
      <c r="AC59" s="3254"/>
      <c r="AD59" s="3251"/>
      <c r="AE59" s="3317"/>
      <c r="AF59" s="3251"/>
      <c r="AG59" s="3254"/>
      <c r="AH59" s="3251"/>
      <c r="AI59" s="3254"/>
      <c r="AJ59" s="3251"/>
      <c r="AK59" s="3254"/>
      <c r="AL59" s="3251"/>
      <c r="AM59" s="3254"/>
      <c r="AN59" s="3251"/>
      <c r="AO59" s="3254"/>
      <c r="AP59" s="3251"/>
      <c r="AQ59" s="3254"/>
      <c r="AR59" s="3265"/>
      <c r="AS59" s="3254"/>
      <c r="AT59" s="3251"/>
      <c r="AU59" s="3254"/>
      <c r="AV59" s="3265"/>
      <c r="AW59" s="3254"/>
      <c r="AX59" s="3265"/>
      <c r="AY59" s="3254"/>
      <c r="AZ59" s="3265"/>
      <c r="BA59" s="3188"/>
      <c r="BB59" s="3188"/>
      <c r="BC59" s="3283"/>
      <c r="BD59" s="3265"/>
      <c r="BE59" s="3151"/>
      <c r="BF59" s="798">
        <v>42410</v>
      </c>
      <c r="BG59" s="799">
        <v>42410</v>
      </c>
      <c r="BH59" s="800">
        <v>42543</v>
      </c>
      <c r="BI59" s="801">
        <v>42544</v>
      </c>
      <c r="BJ59" s="3151"/>
    </row>
    <row r="60" spans="1:62" ht="34.5" customHeight="1" x14ac:dyDescent="0.2">
      <c r="A60" s="3139"/>
      <c r="B60" s="3140"/>
      <c r="C60" s="3141"/>
      <c r="D60" s="3143"/>
      <c r="E60" s="3140"/>
      <c r="F60" s="3141"/>
      <c r="G60" s="816">
        <v>80</v>
      </c>
      <c r="H60" s="791" t="s">
        <v>552</v>
      </c>
      <c r="I60" s="809"/>
      <c r="J60" s="809"/>
      <c r="K60" s="4878"/>
      <c r="L60" s="809"/>
      <c r="M60" s="809"/>
      <c r="N60" s="1882"/>
      <c r="O60" s="809"/>
      <c r="P60" s="809"/>
      <c r="Q60" s="809"/>
      <c r="R60" s="809"/>
      <c r="S60" s="809"/>
      <c r="T60" s="809"/>
      <c r="U60" s="809"/>
      <c r="V60" s="809"/>
      <c r="W60" s="809"/>
      <c r="X60" s="792"/>
      <c r="Y60" s="792"/>
      <c r="Z60" s="809"/>
      <c r="AA60" s="809"/>
      <c r="AB60" s="809"/>
      <c r="AC60" s="792"/>
      <c r="AD60" s="809"/>
      <c r="AE60" s="792"/>
      <c r="AF60" s="809"/>
      <c r="AG60" s="792"/>
      <c r="AH60" s="809"/>
      <c r="AI60" s="792"/>
      <c r="AJ60" s="809"/>
      <c r="AK60" s="792"/>
      <c r="AL60" s="809"/>
      <c r="AM60" s="792"/>
      <c r="AN60" s="809"/>
      <c r="AO60" s="792"/>
      <c r="AP60" s="809"/>
      <c r="AQ60" s="792"/>
      <c r="AR60" s="809"/>
      <c r="AS60" s="792"/>
      <c r="AT60" s="809"/>
      <c r="AU60" s="792"/>
      <c r="AV60" s="809"/>
      <c r="AW60" s="792"/>
      <c r="AX60" s="809"/>
      <c r="AY60" s="792"/>
      <c r="AZ60" s="809"/>
      <c r="BA60" s="809"/>
      <c r="BB60" s="809"/>
      <c r="BC60" s="809"/>
      <c r="BD60" s="809"/>
      <c r="BE60" s="809"/>
      <c r="BF60" s="809"/>
      <c r="BG60" s="792"/>
      <c r="BH60" s="793"/>
      <c r="BI60" s="817"/>
      <c r="BJ60" s="793"/>
    </row>
    <row r="61" spans="1:62" ht="100.5" thickBot="1" x14ac:dyDescent="0.25">
      <c r="A61" s="3139"/>
      <c r="B61" s="3140"/>
      <c r="C61" s="3141"/>
      <c r="D61" s="3143"/>
      <c r="E61" s="3140"/>
      <c r="F61" s="3141"/>
      <c r="G61" s="3291"/>
      <c r="H61" s="3292"/>
      <c r="I61" s="3293"/>
      <c r="J61" s="2227">
        <v>234</v>
      </c>
      <c r="K61" s="4881" t="s">
        <v>553</v>
      </c>
      <c r="L61" s="818" t="s">
        <v>453</v>
      </c>
      <c r="M61" s="2250">
        <v>1</v>
      </c>
      <c r="N61" s="2230">
        <v>0.5</v>
      </c>
      <c r="O61" s="3158" t="s">
        <v>554</v>
      </c>
      <c r="P61" s="3182">
        <v>34</v>
      </c>
      <c r="Q61" s="3300" t="s">
        <v>555</v>
      </c>
      <c r="R61" s="2241">
        <f>+W61/S61</f>
        <v>0.1875</v>
      </c>
      <c r="S61" s="3187">
        <v>16000000</v>
      </c>
      <c r="T61" s="3191" t="s">
        <v>556</v>
      </c>
      <c r="U61" s="3191" t="s">
        <v>557</v>
      </c>
      <c r="V61" s="819" t="s">
        <v>558</v>
      </c>
      <c r="W61" s="1272">
        <v>3000000</v>
      </c>
      <c r="X61" s="2271">
        <v>3000000</v>
      </c>
      <c r="Y61" s="2271">
        <v>3000000</v>
      </c>
      <c r="Z61" s="3257">
        <v>20</v>
      </c>
      <c r="AA61" s="3324" t="s">
        <v>130</v>
      </c>
      <c r="AB61" s="3287">
        <v>272</v>
      </c>
      <c r="AC61" s="3288">
        <v>267</v>
      </c>
      <c r="AD61" s="3287">
        <v>306</v>
      </c>
      <c r="AE61" s="3288">
        <v>300</v>
      </c>
      <c r="AF61" s="3287">
        <v>117</v>
      </c>
      <c r="AG61" s="3288">
        <v>114</v>
      </c>
      <c r="AH61" s="3287">
        <v>368</v>
      </c>
      <c r="AI61" s="3288">
        <v>361</v>
      </c>
      <c r="AJ61" s="3287">
        <v>1003</v>
      </c>
      <c r="AK61" s="3288">
        <v>983</v>
      </c>
      <c r="AL61" s="3287">
        <v>345</v>
      </c>
      <c r="AM61" s="3288">
        <v>338</v>
      </c>
      <c r="AN61" s="3287"/>
      <c r="AO61" s="3288"/>
      <c r="AP61" s="3287"/>
      <c r="AQ61" s="3288"/>
      <c r="AR61" s="3162"/>
      <c r="AS61" s="3288"/>
      <c r="AT61" s="3287"/>
      <c r="AU61" s="3288"/>
      <c r="AV61" s="3162"/>
      <c r="AW61" s="3288"/>
      <c r="AX61" s="3162"/>
      <c r="AY61" s="3288"/>
      <c r="AZ61" s="3162">
        <v>7</v>
      </c>
      <c r="BA61" s="3320">
        <f>SUM($X$61:$X$63)</f>
        <v>15674833</v>
      </c>
      <c r="BB61" s="3320">
        <f>SUM($Y$61:$Y$63)</f>
        <v>15674833</v>
      </c>
      <c r="BC61" s="3281">
        <f>BA61/BB61</f>
        <v>1</v>
      </c>
      <c r="BD61" s="3162">
        <v>20</v>
      </c>
      <c r="BE61" s="3325" t="s">
        <v>503</v>
      </c>
      <c r="BF61" s="2261">
        <v>42592</v>
      </c>
      <c r="BG61" s="2263">
        <v>42593</v>
      </c>
      <c r="BH61" s="2265">
        <v>42719</v>
      </c>
      <c r="BI61" s="2267">
        <v>42724</v>
      </c>
      <c r="BJ61" s="3241" t="s">
        <v>460</v>
      </c>
    </row>
    <row r="62" spans="1:62" ht="63" customHeight="1" x14ac:dyDescent="0.2">
      <c r="A62" s="3139"/>
      <c r="B62" s="3140"/>
      <c r="C62" s="3141"/>
      <c r="D62" s="3143"/>
      <c r="E62" s="3140"/>
      <c r="F62" s="3141"/>
      <c r="G62" s="3294"/>
      <c r="H62" s="3295"/>
      <c r="I62" s="3296"/>
      <c r="J62" s="3162">
        <v>235</v>
      </c>
      <c r="K62" s="4882" t="s">
        <v>559</v>
      </c>
      <c r="L62" s="3161" t="s">
        <v>453</v>
      </c>
      <c r="M62" s="3311">
        <v>1</v>
      </c>
      <c r="N62" s="3163">
        <v>0.5</v>
      </c>
      <c r="O62" s="3158"/>
      <c r="P62" s="3183"/>
      <c r="Q62" s="3300"/>
      <c r="R62" s="3278">
        <f>+(W62+W63)/S61</f>
        <v>0.8125</v>
      </c>
      <c r="S62" s="3188"/>
      <c r="T62" s="3191"/>
      <c r="U62" s="3191"/>
      <c r="V62" s="802" t="s">
        <v>560</v>
      </c>
      <c r="W62" s="2270">
        <v>3000000</v>
      </c>
      <c r="X62" s="2271">
        <v>2674833</v>
      </c>
      <c r="Y62" s="2271">
        <v>2674833</v>
      </c>
      <c r="Z62" s="3258"/>
      <c r="AA62" s="3324"/>
      <c r="AB62" s="3287"/>
      <c r="AC62" s="3289"/>
      <c r="AD62" s="3287"/>
      <c r="AE62" s="3289"/>
      <c r="AF62" s="3287"/>
      <c r="AG62" s="3289"/>
      <c r="AH62" s="3287"/>
      <c r="AI62" s="3289"/>
      <c r="AJ62" s="3287"/>
      <c r="AK62" s="3289"/>
      <c r="AL62" s="3287"/>
      <c r="AM62" s="3289"/>
      <c r="AN62" s="3287"/>
      <c r="AO62" s="3289"/>
      <c r="AP62" s="3287"/>
      <c r="AQ62" s="3289"/>
      <c r="AR62" s="3287"/>
      <c r="AS62" s="3289"/>
      <c r="AT62" s="3287"/>
      <c r="AU62" s="3289"/>
      <c r="AV62" s="3287"/>
      <c r="AW62" s="3289"/>
      <c r="AX62" s="3287"/>
      <c r="AY62" s="3289"/>
      <c r="AZ62" s="3287"/>
      <c r="BA62" s="3321"/>
      <c r="BB62" s="3321"/>
      <c r="BC62" s="3328"/>
      <c r="BD62" s="3287"/>
      <c r="BE62" s="3326"/>
      <c r="BF62" s="798">
        <v>42592</v>
      </c>
      <c r="BG62" s="799">
        <v>42593</v>
      </c>
      <c r="BH62" s="800">
        <v>42719</v>
      </c>
      <c r="BI62" s="801">
        <v>42724</v>
      </c>
      <c r="BJ62" s="3241"/>
    </row>
    <row r="63" spans="1:62" ht="38.25" customHeight="1" x14ac:dyDescent="0.2">
      <c r="A63" s="3139"/>
      <c r="B63" s="3140"/>
      <c r="C63" s="3141"/>
      <c r="D63" s="3143"/>
      <c r="E63" s="3140"/>
      <c r="F63" s="3141"/>
      <c r="G63" s="3294"/>
      <c r="H63" s="3295"/>
      <c r="I63" s="3296"/>
      <c r="J63" s="3287"/>
      <c r="K63" s="4875"/>
      <c r="L63" s="3203"/>
      <c r="M63" s="3312"/>
      <c r="N63" s="3164"/>
      <c r="O63" s="3158"/>
      <c r="P63" s="3214"/>
      <c r="Q63" s="3300"/>
      <c r="R63" s="3279"/>
      <c r="S63" s="3189"/>
      <c r="T63" s="3191"/>
      <c r="U63" s="3323"/>
      <c r="V63" s="820" t="s">
        <v>561</v>
      </c>
      <c r="W63" s="1263">
        <v>10000000</v>
      </c>
      <c r="X63" s="2271">
        <v>10000000</v>
      </c>
      <c r="Y63" s="2271">
        <v>10000000</v>
      </c>
      <c r="Z63" s="3258"/>
      <c r="AA63" s="3324"/>
      <c r="AB63" s="3287"/>
      <c r="AC63" s="3290"/>
      <c r="AD63" s="3287"/>
      <c r="AE63" s="3290"/>
      <c r="AF63" s="3287"/>
      <c r="AG63" s="3290"/>
      <c r="AH63" s="3287"/>
      <c r="AI63" s="3290"/>
      <c r="AJ63" s="3287"/>
      <c r="AK63" s="3290"/>
      <c r="AL63" s="3287"/>
      <c r="AM63" s="3290"/>
      <c r="AN63" s="3287"/>
      <c r="AO63" s="3290"/>
      <c r="AP63" s="3287"/>
      <c r="AQ63" s="3290"/>
      <c r="AR63" s="3168"/>
      <c r="AS63" s="3290"/>
      <c r="AT63" s="3287"/>
      <c r="AU63" s="3290"/>
      <c r="AV63" s="3168"/>
      <c r="AW63" s="3290"/>
      <c r="AX63" s="3168"/>
      <c r="AY63" s="3290"/>
      <c r="AZ63" s="3168"/>
      <c r="BA63" s="3322"/>
      <c r="BB63" s="3322"/>
      <c r="BC63" s="3329"/>
      <c r="BD63" s="3168"/>
      <c r="BE63" s="3327"/>
      <c r="BF63" s="2260">
        <v>42592</v>
      </c>
      <c r="BG63" s="2262">
        <v>42593</v>
      </c>
      <c r="BH63" s="2264">
        <v>42719</v>
      </c>
      <c r="BI63" s="2266">
        <v>42720</v>
      </c>
      <c r="BJ63" s="3241"/>
    </row>
    <row r="64" spans="1:62" ht="99.75" x14ac:dyDescent="0.2">
      <c r="A64" s="3139"/>
      <c r="B64" s="3140"/>
      <c r="C64" s="3141"/>
      <c r="D64" s="3143"/>
      <c r="E64" s="3140"/>
      <c r="F64" s="3141"/>
      <c r="G64" s="3294"/>
      <c r="H64" s="3295"/>
      <c r="I64" s="3296"/>
      <c r="J64" s="812">
        <v>234</v>
      </c>
      <c r="K64" s="821" t="s">
        <v>553</v>
      </c>
      <c r="L64" s="814" t="s">
        <v>522</v>
      </c>
      <c r="M64" s="822">
        <v>1</v>
      </c>
      <c r="N64" s="2230">
        <v>0.5</v>
      </c>
      <c r="O64" s="3227" t="s">
        <v>562</v>
      </c>
      <c r="P64" s="3182">
        <v>35</v>
      </c>
      <c r="Q64" s="3190" t="s">
        <v>563</v>
      </c>
      <c r="R64" s="2272">
        <f>+W64/(S64+S65)</f>
        <v>0.5</v>
      </c>
      <c r="S64" s="766">
        <v>10000000</v>
      </c>
      <c r="T64" s="3190" t="s">
        <v>564</v>
      </c>
      <c r="U64" s="3190" t="s">
        <v>565</v>
      </c>
      <c r="V64" s="802" t="s">
        <v>566</v>
      </c>
      <c r="W64" s="2270">
        <v>10000000</v>
      </c>
      <c r="X64" s="2271">
        <v>10000000</v>
      </c>
      <c r="Y64" s="2271">
        <v>10000000</v>
      </c>
      <c r="Z64" s="3311">
        <v>20</v>
      </c>
      <c r="AA64" s="3260" t="s">
        <v>567</v>
      </c>
      <c r="AB64" s="3251">
        <v>6</v>
      </c>
      <c r="AC64" s="3252">
        <v>6</v>
      </c>
      <c r="AD64" s="3251">
        <v>7</v>
      </c>
      <c r="AE64" s="3252">
        <v>7</v>
      </c>
      <c r="AF64" s="3251">
        <v>3</v>
      </c>
      <c r="AG64" s="3252">
        <v>3</v>
      </c>
      <c r="AH64" s="3251">
        <v>8</v>
      </c>
      <c r="AI64" s="3252">
        <v>8</v>
      </c>
      <c r="AJ64" s="3251">
        <v>22</v>
      </c>
      <c r="AK64" s="3252">
        <v>22</v>
      </c>
      <c r="AL64" s="3251">
        <v>8</v>
      </c>
      <c r="AM64" s="3252">
        <v>8</v>
      </c>
      <c r="AN64" s="3263"/>
      <c r="AO64" s="3252"/>
      <c r="AP64" s="3251"/>
      <c r="AQ64" s="3252"/>
      <c r="AR64" s="3263"/>
      <c r="AS64" s="3252"/>
      <c r="AT64" s="3332"/>
      <c r="AU64" s="3330"/>
      <c r="AV64" s="3341"/>
      <c r="AW64" s="3330"/>
      <c r="AX64" s="3332"/>
      <c r="AY64" s="3330"/>
      <c r="AZ64" s="3263">
        <v>2</v>
      </c>
      <c r="BA64" s="3320">
        <f>SUM($X$64:$X$65)</f>
        <v>20000000</v>
      </c>
      <c r="BB64" s="3320">
        <f>SUM($Y$64:$Y$65)</f>
        <v>20000000</v>
      </c>
      <c r="BC64" s="3281">
        <v>1</v>
      </c>
      <c r="BD64" s="3263">
        <v>20</v>
      </c>
      <c r="BE64" s="3284" t="s">
        <v>503</v>
      </c>
      <c r="BF64" s="798">
        <v>42410</v>
      </c>
      <c r="BG64" s="799">
        <v>42411</v>
      </c>
      <c r="BH64" s="800">
        <v>42543</v>
      </c>
      <c r="BI64" s="801">
        <v>42544</v>
      </c>
      <c r="BJ64" s="3241"/>
    </row>
    <row r="65" spans="1:62" ht="71.25" customHeight="1" x14ac:dyDescent="0.2">
      <c r="A65" s="3139"/>
      <c r="B65" s="3140"/>
      <c r="C65" s="3141"/>
      <c r="D65" s="3143"/>
      <c r="E65" s="3140"/>
      <c r="F65" s="3141"/>
      <c r="G65" s="3297"/>
      <c r="H65" s="3298"/>
      <c r="I65" s="3299"/>
      <c r="J65" s="812">
        <v>235</v>
      </c>
      <c r="K65" s="821" t="s">
        <v>559</v>
      </c>
      <c r="L65" s="814" t="s">
        <v>522</v>
      </c>
      <c r="M65" s="811">
        <v>1</v>
      </c>
      <c r="N65" s="2230">
        <v>0.5</v>
      </c>
      <c r="O65" s="3240"/>
      <c r="P65" s="3214"/>
      <c r="Q65" s="3190"/>
      <c r="R65" s="2272">
        <f>+W65/(S64+S65)</f>
        <v>0.5</v>
      </c>
      <c r="S65" s="766">
        <v>10000000</v>
      </c>
      <c r="T65" s="3190"/>
      <c r="U65" s="3246"/>
      <c r="V65" s="802" t="s">
        <v>568</v>
      </c>
      <c r="W65" s="2270">
        <v>10000000</v>
      </c>
      <c r="X65" s="2271">
        <v>10000000</v>
      </c>
      <c r="Y65" s="2271">
        <v>10000000</v>
      </c>
      <c r="Z65" s="3313"/>
      <c r="AA65" s="3262"/>
      <c r="AB65" s="3251"/>
      <c r="AC65" s="3254"/>
      <c r="AD65" s="3251"/>
      <c r="AE65" s="3254"/>
      <c r="AF65" s="3251"/>
      <c r="AG65" s="3254"/>
      <c r="AH65" s="3251"/>
      <c r="AI65" s="3254"/>
      <c r="AJ65" s="3251"/>
      <c r="AK65" s="3254"/>
      <c r="AL65" s="3251"/>
      <c r="AM65" s="3254"/>
      <c r="AN65" s="3265"/>
      <c r="AO65" s="3254"/>
      <c r="AP65" s="3251"/>
      <c r="AQ65" s="3254"/>
      <c r="AR65" s="3265"/>
      <c r="AS65" s="3254"/>
      <c r="AT65" s="3332"/>
      <c r="AU65" s="3331"/>
      <c r="AV65" s="3342"/>
      <c r="AW65" s="3331"/>
      <c r="AX65" s="3332"/>
      <c r="AY65" s="3331"/>
      <c r="AZ65" s="3265"/>
      <c r="BA65" s="3321"/>
      <c r="BB65" s="3321"/>
      <c r="BC65" s="3283"/>
      <c r="BD65" s="3265"/>
      <c r="BE65" s="3286"/>
      <c r="BF65" s="798">
        <v>42410</v>
      </c>
      <c r="BG65" s="799">
        <v>42411</v>
      </c>
      <c r="BH65" s="800">
        <v>42543</v>
      </c>
      <c r="BI65" s="801">
        <v>42544</v>
      </c>
      <c r="BJ65" s="3241"/>
    </row>
    <row r="66" spans="1:62" ht="38.25" customHeight="1" x14ac:dyDescent="0.2">
      <c r="A66" s="3139"/>
      <c r="B66" s="3140"/>
      <c r="C66" s="3141"/>
      <c r="D66" s="3143"/>
      <c r="E66" s="3140"/>
      <c r="F66" s="3141"/>
      <c r="G66" s="816">
        <v>81</v>
      </c>
      <c r="H66" s="791" t="s">
        <v>569</v>
      </c>
      <c r="I66" s="809"/>
      <c r="J66" s="809"/>
      <c r="K66" s="4878"/>
      <c r="L66" s="809"/>
      <c r="M66" s="809"/>
      <c r="N66" s="1882"/>
      <c r="O66" s="809"/>
      <c r="P66" s="809"/>
      <c r="Q66" s="809"/>
      <c r="R66" s="809"/>
      <c r="S66" s="809"/>
      <c r="T66" s="809"/>
      <c r="U66" s="809"/>
      <c r="V66" s="809"/>
      <c r="W66" s="809"/>
      <c r="X66" s="792"/>
      <c r="Y66" s="792"/>
      <c r="Z66" s="809"/>
      <c r="AA66" s="809"/>
      <c r="AB66" s="809"/>
      <c r="AC66" s="792"/>
      <c r="AD66" s="809"/>
      <c r="AE66" s="792"/>
      <c r="AF66" s="809"/>
      <c r="AG66" s="792"/>
      <c r="AH66" s="809"/>
      <c r="AI66" s="792"/>
      <c r="AJ66" s="809"/>
      <c r="AK66" s="792"/>
      <c r="AL66" s="809"/>
      <c r="AM66" s="792"/>
      <c r="AN66" s="809"/>
      <c r="AO66" s="792"/>
      <c r="AP66" s="809"/>
      <c r="AQ66" s="792"/>
      <c r="AR66" s="809"/>
      <c r="AS66" s="792"/>
      <c r="AT66" s="809"/>
      <c r="AU66" s="792"/>
      <c r="AV66" s="809"/>
      <c r="AW66" s="792"/>
      <c r="AX66" s="809"/>
      <c r="AY66" s="792"/>
      <c r="AZ66" s="809"/>
      <c r="BA66" s="809"/>
      <c r="BB66" s="809"/>
      <c r="BC66" s="809"/>
      <c r="BD66" s="809"/>
      <c r="BE66" s="809"/>
      <c r="BF66" s="809"/>
      <c r="BG66" s="792"/>
      <c r="BH66" s="809"/>
      <c r="BI66" s="792"/>
      <c r="BJ66" s="793"/>
    </row>
    <row r="67" spans="1:62" s="733" customFormat="1" ht="48" customHeight="1" x14ac:dyDescent="0.2">
      <c r="A67" s="3139"/>
      <c r="B67" s="3140"/>
      <c r="C67" s="3141"/>
      <c r="D67" s="3143"/>
      <c r="E67" s="3140"/>
      <c r="F67" s="3141"/>
      <c r="G67" s="3291"/>
      <c r="H67" s="3292"/>
      <c r="I67" s="3293"/>
      <c r="J67" s="3166">
        <v>236</v>
      </c>
      <c r="K67" s="4879" t="s">
        <v>570</v>
      </c>
      <c r="L67" s="3161" t="s">
        <v>453</v>
      </c>
      <c r="M67" s="3166">
        <v>4</v>
      </c>
      <c r="N67" s="3156">
        <v>1</v>
      </c>
      <c r="O67" s="3157" t="s">
        <v>571</v>
      </c>
      <c r="P67" s="3182">
        <v>36</v>
      </c>
      <c r="Q67" s="3185" t="s">
        <v>572</v>
      </c>
      <c r="R67" s="3347">
        <f>+(W67+W68+W69)/$S$67</f>
        <v>0.18258141543463902</v>
      </c>
      <c r="S67" s="3187">
        <f>SUM(W67:W79)</f>
        <v>314928000</v>
      </c>
      <c r="T67" s="3152" t="s">
        <v>573</v>
      </c>
      <c r="U67" s="3152" t="s">
        <v>574</v>
      </c>
      <c r="V67" s="1771" t="s">
        <v>575</v>
      </c>
      <c r="W67" s="1772">
        <v>700000</v>
      </c>
      <c r="X67" s="1273">
        <v>5000000</v>
      </c>
      <c r="Y67" s="1273">
        <v>5000000</v>
      </c>
      <c r="Z67" s="3257">
        <v>20</v>
      </c>
      <c r="AA67" s="3333" t="s">
        <v>130</v>
      </c>
      <c r="AB67" s="3335">
        <v>2019</v>
      </c>
      <c r="AC67" s="3338">
        <v>955</v>
      </c>
      <c r="AD67" s="3335">
        <v>2274</v>
      </c>
      <c r="AE67" s="3338">
        <v>1075</v>
      </c>
      <c r="AF67" s="3335">
        <v>865</v>
      </c>
      <c r="AG67" s="3338">
        <v>409</v>
      </c>
      <c r="AH67" s="3335">
        <v>2734</v>
      </c>
      <c r="AI67" s="3338">
        <v>1293</v>
      </c>
      <c r="AJ67" s="3335">
        <v>7443</v>
      </c>
      <c r="AK67" s="3338">
        <v>3520</v>
      </c>
      <c r="AL67" s="3335">
        <v>2562</v>
      </c>
      <c r="AM67" s="3338">
        <v>1212</v>
      </c>
      <c r="AN67" s="3335"/>
      <c r="AO67" s="3338"/>
      <c r="AP67" s="3335"/>
      <c r="AQ67" s="3338"/>
      <c r="AR67" s="3353"/>
      <c r="AS67" s="3338"/>
      <c r="AT67" s="3335"/>
      <c r="AU67" s="3338"/>
      <c r="AV67" s="3335"/>
      <c r="AW67" s="3338"/>
      <c r="AX67" s="3335"/>
      <c r="AY67" s="3338"/>
      <c r="AZ67" s="3335">
        <v>17</v>
      </c>
      <c r="BA67" s="3350">
        <f>SUM(X67:$X$79)</f>
        <v>148950633</v>
      </c>
      <c r="BB67" s="3335">
        <f>SUM($Y$67:$Y$79)</f>
        <v>143554911</v>
      </c>
      <c r="BC67" s="3281">
        <f>BB67/BA67</f>
        <v>0.96377509855899701</v>
      </c>
      <c r="BD67" s="3335">
        <v>20</v>
      </c>
      <c r="BE67" s="3343" t="s">
        <v>503</v>
      </c>
      <c r="BF67" s="798">
        <v>42594</v>
      </c>
      <c r="BG67" s="799" t="s">
        <v>576</v>
      </c>
      <c r="BH67" s="798">
        <v>42719</v>
      </c>
      <c r="BI67" s="799">
        <v>42724</v>
      </c>
      <c r="BJ67" s="3346" t="s">
        <v>577</v>
      </c>
    </row>
    <row r="68" spans="1:62" s="733" customFormat="1" ht="71.25" x14ac:dyDescent="0.2">
      <c r="A68" s="3139"/>
      <c r="B68" s="3140"/>
      <c r="C68" s="3141"/>
      <c r="D68" s="3143"/>
      <c r="E68" s="3140"/>
      <c r="F68" s="3141"/>
      <c r="G68" s="3294"/>
      <c r="H68" s="3295"/>
      <c r="I68" s="3296"/>
      <c r="J68" s="3276"/>
      <c r="K68" s="4883"/>
      <c r="L68" s="3203"/>
      <c r="M68" s="3276"/>
      <c r="N68" s="3156"/>
      <c r="O68" s="3158"/>
      <c r="P68" s="3183"/>
      <c r="Q68" s="3300"/>
      <c r="R68" s="3348"/>
      <c r="S68" s="3188"/>
      <c r="T68" s="3191"/>
      <c r="U68" s="3191"/>
      <c r="V68" s="1771" t="s">
        <v>578</v>
      </c>
      <c r="W68" s="1772">
        <v>16000000</v>
      </c>
      <c r="X68" s="1274"/>
      <c r="Y68" s="1274"/>
      <c r="Z68" s="3258"/>
      <c r="AA68" s="3324"/>
      <c r="AB68" s="3336"/>
      <c r="AC68" s="3339"/>
      <c r="AD68" s="3336"/>
      <c r="AE68" s="3339"/>
      <c r="AF68" s="3336"/>
      <c r="AG68" s="3339"/>
      <c r="AH68" s="3336"/>
      <c r="AI68" s="3339"/>
      <c r="AJ68" s="3336"/>
      <c r="AK68" s="3339"/>
      <c r="AL68" s="3336"/>
      <c r="AM68" s="3339"/>
      <c r="AN68" s="3336"/>
      <c r="AO68" s="3339"/>
      <c r="AP68" s="3336"/>
      <c r="AQ68" s="3339"/>
      <c r="AR68" s="3353"/>
      <c r="AS68" s="3339"/>
      <c r="AT68" s="3336"/>
      <c r="AU68" s="3339"/>
      <c r="AV68" s="3336"/>
      <c r="AW68" s="3339"/>
      <c r="AX68" s="3336"/>
      <c r="AY68" s="3339"/>
      <c r="AZ68" s="3336"/>
      <c r="BA68" s="3351"/>
      <c r="BB68" s="3336"/>
      <c r="BC68" s="3282"/>
      <c r="BD68" s="3336"/>
      <c r="BE68" s="3344"/>
      <c r="BF68" s="798">
        <v>42597</v>
      </c>
      <c r="BG68" s="799"/>
      <c r="BH68" s="798">
        <v>42719</v>
      </c>
      <c r="BI68" s="799"/>
      <c r="BJ68" s="3346"/>
    </row>
    <row r="69" spans="1:62" s="733" customFormat="1" ht="57" customHeight="1" x14ac:dyDescent="0.2">
      <c r="A69" s="3139"/>
      <c r="B69" s="3140"/>
      <c r="C69" s="3141"/>
      <c r="D69" s="3143"/>
      <c r="E69" s="3140"/>
      <c r="F69" s="3141"/>
      <c r="G69" s="3294"/>
      <c r="H69" s="3295"/>
      <c r="I69" s="3296"/>
      <c r="J69" s="3167"/>
      <c r="K69" s="4880"/>
      <c r="L69" s="3165"/>
      <c r="M69" s="3167"/>
      <c r="N69" s="3156"/>
      <c r="O69" s="3158"/>
      <c r="P69" s="3183"/>
      <c r="Q69" s="3300"/>
      <c r="R69" s="3349"/>
      <c r="S69" s="3188"/>
      <c r="T69" s="3191"/>
      <c r="U69" s="3191"/>
      <c r="V69" s="1771" t="s">
        <v>579</v>
      </c>
      <c r="W69" s="1772">
        <v>40800000</v>
      </c>
      <c r="X69" s="1273">
        <v>0</v>
      </c>
      <c r="Y69" s="1273">
        <v>0</v>
      </c>
      <c r="Z69" s="3258"/>
      <c r="AA69" s="3324"/>
      <c r="AB69" s="3336"/>
      <c r="AC69" s="3339"/>
      <c r="AD69" s="3336"/>
      <c r="AE69" s="3339"/>
      <c r="AF69" s="3336"/>
      <c r="AG69" s="3339"/>
      <c r="AH69" s="3336"/>
      <c r="AI69" s="3339"/>
      <c r="AJ69" s="3336"/>
      <c r="AK69" s="3339"/>
      <c r="AL69" s="3336"/>
      <c r="AM69" s="3339"/>
      <c r="AN69" s="3336"/>
      <c r="AO69" s="3339"/>
      <c r="AP69" s="3336"/>
      <c r="AQ69" s="3339"/>
      <c r="AR69" s="3353"/>
      <c r="AS69" s="3339"/>
      <c r="AT69" s="3336"/>
      <c r="AU69" s="3339"/>
      <c r="AV69" s="3336"/>
      <c r="AW69" s="3339"/>
      <c r="AX69" s="3336"/>
      <c r="AY69" s="3339"/>
      <c r="AZ69" s="3336"/>
      <c r="BA69" s="3351"/>
      <c r="BB69" s="3336"/>
      <c r="BC69" s="3282"/>
      <c r="BD69" s="3336"/>
      <c r="BE69" s="3344"/>
      <c r="BF69" s="798">
        <v>42627</v>
      </c>
      <c r="BG69" s="799"/>
      <c r="BH69" s="798">
        <v>42786</v>
      </c>
      <c r="BI69" s="799"/>
      <c r="BJ69" s="3346"/>
    </row>
    <row r="70" spans="1:62" s="733" customFormat="1" ht="56.25" customHeight="1" x14ac:dyDescent="0.2">
      <c r="A70" s="3139"/>
      <c r="B70" s="3140"/>
      <c r="C70" s="3141"/>
      <c r="D70" s="3143"/>
      <c r="E70" s="3140"/>
      <c r="F70" s="3141"/>
      <c r="G70" s="3294"/>
      <c r="H70" s="3295"/>
      <c r="I70" s="3296"/>
      <c r="J70" s="3166">
        <v>237</v>
      </c>
      <c r="K70" s="4879" t="s">
        <v>580</v>
      </c>
      <c r="L70" s="3161" t="s">
        <v>453</v>
      </c>
      <c r="M70" s="3166">
        <v>50</v>
      </c>
      <c r="N70" s="3156">
        <v>21</v>
      </c>
      <c r="O70" s="3158"/>
      <c r="P70" s="3183"/>
      <c r="Q70" s="3300"/>
      <c r="R70" s="3347">
        <f>+(W70+W71+W72+W73+W74)/S67</f>
        <v>0.15559111923995325</v>
      </c>
      <c r="S70" s="3188"/>
      <c r="T70" s="3191"/>
      <c r="U70" s="3191"/>
      <c r="V70" s="813" t="s">
        <v>581</v>
      </c>
      <c r="W70" s="1772">
        <v>15000000</v>
      </c>
      <c r="X70" s="1274">
        <v>15000000</v>
      </c>
      <c r="Y70" s="1274">
        <v>15000000</v>
      </c>
      <c r="Z70" s="3258"/>
      <c r="AA70" s="3324"/>
      <c r="AB70" s="3336"/>
      <c r="AC70" s="3339"/>
      <c r="AD70" s="3336"/>
      <c r="AE70" s="3339"/>
      <c r="AF70" s="3336"/>
      <c r="AG70" s="3339"/>
      <c r="AH70" s="3336"/>
      <c r="AI70" s="3339"/>
      <c r="AJ70" s="3336"/>
      <c r="AK70" s="3339"/>
      <c r="AL70" s="3336"/>
      <c r="AM70" s="3339"/>
      <c r="AN70" s="3336"/>
      <c r="AO70" s="3339"/>
      <c r="AP70" s="3336"/>
      <c r="AQ70" s="3339"/>
      <c r="AR70" s="3353"/>
      <c r="AS70" s="3339"/>
      <c r="AT70" s="3336"/>
      <c r="AU70" s="3339"/>
      <c r="AV70" s="3336"/>
      <c r="AW70" s="3339"/>
      <c r="AX70" s="3336"/>
      <c r="AY70" s="3339"/>
      <c r="AZ70" s="3336"/>
      <c r="BA70" s="3351"/>
      <c r="BB70" s="3336"/>
      <c r="BC70" s="3282"/>
      <c r="BD70" s="3336"/>
      <c r="BE70" s="3344"/>
      <c r="BF70" s="798">
        <v>42597</v>
      </c>
      <c r="BG70" s="799">
        <v>42597</v>
      </c>
      <c r="BH70" s="798">
        <v>42719</v>
      </c>
      <c r="BI70" s="799">
        <v>42724</v>
      </c>
      <c r="BJ70" s="3346"/>
    </row>
    <row r="71" spans="1:62" s="733" customFormat="1" ht="35.25" customHeight="1" x14ac:dyDescent="0.2">
      <c r="A71" s="3139"/>
      <c r="B71" s="3140"/>
      <c r="C71" s="3141"/>
      <c r="D71" s="3143"/>
      <c r="E71" s="3140"/>
      <c r="F71" s="3141"/>
      <c r="G71" s="3294"/>
      <c r="H71" s="3295"/>
      <c r="I71" s="3296"/>
      <c r="J71" s="3276"/>
      <c r="K71" s="4883"/>
      <c r="L71" s="3203"/>
      <c r="M71" s="3276"/>
      <c r="N71" s="3156"/>
      <c r="O71" s="3158"/>
      <c r="P71" s="3183"/>
      <c r="Q71" s="3300"/>
      <c r="R71" s="3348"/>
      <c r="S71" s="3188"/>
      <c r="T71" s="3191"/>
      <c r="U71" s="3191"/>
      <c r="V71" s="813" t="s">
        <v>582</v>
      </c>
      <c r="W71" s="1772">
        <v>21600000</v>
      </c>
      <c r="X71" s="1273">
        <v>19600000</v>
      </c>
      <c r="Y71" s="1273">
        <v>19600000</v>
      </c>
      <c r="Z71" s="3258"/>
      <c r="AA71" s="3324"/>
      <c r="AB71" s="3336"/>
      <c r="AC71" s="3339"/>
      <c r="AD71" s="3336"/>
      <c r="AE71" s="3339"/>
      <c r="AF71" s="3336"/>
      <c r="AG71" s="3339"/>
      <c r="AH71" s="3336"/>
      <c r="AI71" s="3339"/>
      <c r="AJ71" s="3336"/>
      <c r="AK71" s="3339"/>
      <c r="AL71" s="3336"/>
      <c r="AM71" s="3339"/>
      <c r="AN71" s="3336"/>
      <c r="AO71" s="3339"/>
      <c r="AP71" s="3336"/>
      <c r="AQ71" s="3339"/>
      <c r="AR71" s="3353"/>
      <c r="AS71" s="3339"/>
      <c r="AT71" s="3336"/>
      <c r="AU71" s="3339"/>
      <c r="AV71" s="3336"/>
      <c r="AW71" s="3339"/>
      <c r="AX71" s="3336"/>
      <c r="AY71" s="3339"/>
      <c r="AZ71" s="3336"/>
      <c r="BA71" s="3351"/>
      <c r="BB71" s="3336"/>
      <c r="BC71" s="3282"/>
      <c r="BD71" s="3336"/>
      <c r="BE71" s="3344"/>
      <c r="BF71" s="798">
        <v>42597</v>
      </c>
      <c r="BG71" s="799">
        <v>42597</v>
      </c>
      <c r="BH71" s="798">
        <v>42719</v>
      </c>
      <c r="BI71" s="799">
        <v>42724</v>
      </c>
      <c r="BJ71" s="3346"/>
    </row>
    <row r="72" spans="1:62" s="733" customFormat="1" ht="61.5" customHeight="1" x14ac:dyDescent="0.2">
      <c r="A72" s="3139"/>
      <c r="B72" s="3140"/>
      <c r="C72" s="3141"/>
      <c r="D72" s="3143"/>
      <c r="E72" s="3140"/>
      <c r="F72" s="3141"/>
      <c r="G72" s="3294"/>
      <c r="H72" s="3295"/>
      <c r="I72" s="3296"/>
      <c r="J72" s="3276"/>
      <c r="K72" s="4883"/>
      <c r="L72" s="3203"/>
      <c r="M72" s="3276"/>
      <c r="N72" s="3156"/>
      <c r="O72" s="3158"/>
      <c r="P72" s="3183"/>
      <c r="Q72" s="3300"/>
      <c r="R72" s="3348"/>
      <c r="S72" s="3188"/>
      <c r="T72" s="3191"/>
      <c r="U72" s="3191"/>
      <c r="V72" s="813" t="s">
        <v>583</v>
      </c>
      <c r="W72" s="1772">
        <v>4000000</v>
      </c>
      <c r="X72" s="1273">
        <v>4000000</v>
      </c>
      <c r="Y72" s="1273">
        <v>4000000</v>
      </c>
      <c r="Z72" s="3258"/>
      <c r="AA72" s="3324"/>
      <c r="AB72" s="3336"/>
      <c r="AC72" s="3339"/>
      <c r="AD72" s="3336"/>
      <c r="AE72" s="3339"/>
      <c r="AF72" s="3336"/>
      <c r="AG72" s="3339"/>
      <c r="AH72" s="3336"/>
      <c r="AI72" s="3339"/>
      <c r="AJ72" s="3336"/>
      <c r="AK72" s="3339"/>
      <c r="AL72" s="3336"/>
      <c r="AM72" s="3339"/>
      <c r="AN72" s="3336"/>
      <c r="AO72" s="3339"/>
      <c r="AP72" s="3336"/>
      <c r="AQ72" s="3339"/>
      <c r="AR72" s="3353"/>
      <c r="AS72" s="3339"/>
      <c r="AT72" s="3336"/>
      <c r="AU72" s="3339"/>
      <c r="AV72" s="3336"/>
      <c r="AW72" s="3339"/>
      <c r="AX72" s="3336"/>
      <c r="AY72" s="3339"/>
      <c r="AZ72" s="3336"/>
      <c r="BA72" s="3351"/>
      <c r="BB72" s="3336"/>
      <c r="BC72" s="3282"/>
      <c r="BD72" s="3336"/>
      <c r="BE72" s="3344"/>
      <c r="BF72" s="798">
        <v>42597</v>
      </c>
      <c r="BG72" s="799">
        <v>42598</v>
      </c>
      <c r="BH72" s="798">
        <v>42719</v>
      </c>
      <c r="BI72" s="799">
        <v>42720</v>
      </c>
      <c r="BJ72" s="3346"/>
    </row>
    <row r="73" spans="1:62" s="733" customFormat="1" ht="57" customHeight="1" x14ac:dyDescent="0.2">
      <c r="A73" s="3139"/>
      <c r="B73" s="3140"/>
      <c r="C73" s="3141"/>
      <c r="D73" s="3143"/>
      <c r="E73" s="3140"/>
      <c r="F73" s="3141"/>
      <c r="G73" s="3294"/>
      <c r="H73" s="3295"/>
      <c r="I73" s="3296"/>
      <c r="J73" s="3276"/>
      <c r="K73" s="4883"/>
      <c r="L73" s="3203"/>
      <c r="M73" s="3276"/>
      <c r="N73" s="3156"/>
      <c r="O73" s="3158"/>
      <c r="P73" s="3183"/>
      <c r="Q73" s="3300"/>
      <c r="R73" s="3348"/>
      <c r="S73" s="3188"/>
      <c r="T73" s="3191"/>
      <c r="U73" s="3191"/>
      <c r="V73" s="813" t="s">
        <v>584</v>
      </c>
      <c r="W73" s="1772">
        <v>3400000</v>
      </c>
      <c r="X73" s="1273">
        <v>3400000</v>
      </c>
      <c r="Y73" s="1273">
        <v>3400000</v>
      </c>
      <c r="Z73" s="3258"/>
      <c r="AA73" s="3324"/>
      <c r="AB73" s="3336"/>
      <c r="AC73" s="3339"/>
      <c r="AD73" s="3336"/>
      <c r="AE73" s="3339"/>
      <c r="AF73" s="3336"/>
      <c r="AG73" s="3339"/>
      <c r="AH73" s="3336"/>
      <c r="AI73" s="3339"/>
      <c r="AJ73" s="3336"/>
      <c r="AK73" s="3339"/>
      <c r="AL73" s="3336"/>
      <c r="AM73" s="3339"/>
      <c r="AN73" s="3336"/>
      <c r="AO73" s="3339"/>
      <c r="AP73" s="3336"/>
      <c r="AQ73" s="3339"/>
      <c r="AR73" s="3353"/>
      <c r="AS73" s="3339"/>
      <c r="AT73" s="3336"/>
      <c r="AU73" s="3339"/>
      <c r="AV73" s="3336"/>
      <c r="AW73" s="3339"/>
      <c r="AX73" s="3336"/>
      <c r="AY73" s="3339"/>
      <c r="AZ73" s="3336"/>
      <c r="BA73" s="3351"/>
      <c r="BB73" s="3336"/>
      <c r="BC73" s="3282"/>
      <c r="BD73" s="3336"/>
      <c r="BE73" s="3344"/>
      <c r="BF73" s="799">
        <v>42597</v>
      </c>
      <c r="BG73" s="799">
        <v>42598</v>
      </c>
      <c r="BH73" s="799">
        <v>42719</v>
      </c>
      <c r="BI73" s="799">
        <v>42720</v>
      </c>
      <c r="BJ73" s="3346"/>
    </row>
    <row r="74" spans="1:62" s="733" customFormat="1" ht="57" customHeight="1" x14ac:dyDescent="0.2">
      <c r="A74" s="3139"/>
      <c r="B74" s="3140"/>
      <c r="C74" s="3141"/>
      <c r="D74" s="3143"/>
      <c r="E74" s="3140"/>
      <c r="F74" s="3141"/>
      <c r="G74" s="3294"/>
      <c r="H74" s="3295"/>
      <c r="I74" s="3296"/>
      <c r="J74" s="3167"/>
      <c r="K74" s="4880"/>
      <c r="L74" s="3165"/>
      <c r="M74" s="3167"/>
      <c r="N74" s="3156"/>
      <c r="O74" s="3158"/>
      <c r="P74" s="3183"/>
      <c r="Q74" s="3300"/>
      <c r="R74" s="3349"/>
      <c r="S74" s="3188"/>
      <c r="T74" s="3191"/>
      <c r="U74" s="3191"/>
      <c r="V74" s="813" t="s">
        <v>585</v>
      </c>
      <c r="W74" s="1772">
        <f>16000000-11000000</f>
        <v>5000000</v>
      </c>
      <c r="X74" s="1273">
        <v>0</v>
      </c>
      <c r="Y74" s="1273">
        <v>0</v>
      </c>
      <c r="Z74" s="3258"/>
      <c r="AA74" s="3324"/>
      <c r="AB74" s="3336"/>
      <c r="AC74" s="3339"/>
      <c r="AD74" s="3336"/>
      <c r="AE74" s="3339"/>
      <c r="AF74" s="3336"/>
      <c r="AG74" s="3339"/>
      <c r="AH74" s="3336"/>
      <c r="AI74" s="3339"/>
      <c r="AJ74" s="3336"/>
      <c r="AK74" s="3339"/>
      <c r="AL74" s="3336"/>
      <c r="AM74" s="3339"/>
      <c r="AN74" s="3336"/>
      <c r="AO74" s="3339"/>
      <c r="AP74" s="3336"/>
      <c r="AQ74" s="3339"/>
      <c r="AR74" s="3353"/>
      <c r="AS74" s="3339"/>
      <c r="AT74" s="3336"/>
      <c r="AU74" s="3339"/>
      <c r="AV74" s="3336"/>
      <c r="AW74" s="3339"/>
      <c r="AX74" s="3336"/>
      <c r="AY74" s="3339"/>
      <c r="AZ74" s="3336"/>
      <c r="BA74" s="3351"/>
      <c r="BB74" s="3336"/>
      <c r="BC74" s="3282"/>
      <c r="BD74" s="3336"/>
      <c r="BE74" s="3344"/>
      <c r="BF74" s="798">
        <v>42597</v>
      </c>
      <c r="BG74" s="799"/>
      <c r="BH74" s="798">
        <v>42719</v>
      </c>
      <c r="BI74" s="799"/>
      <c r="BJ74" s="3346"/>
    </row>
    <row r="75" spans="1:62" s="733" customFormat="1" ht="71.25" x14ac:dyDescent="0.2">
      <c r="A75" s="3139"/>
      <c r="B75" s="3140"/>
      <c r="C75" s="3141"/>
      <c r="D75" s="3143"/>
      <c r="E75" s="3140"/>
      <c r="F75" s="3141"/>
      <c r="G75" s="3294"/>
      <c r="H75" s="3295"/>
      <c r="I75" s="3296"/>
      <c r="J75" s="3166">
        <v>238</v>
      </c>
      <c r="K75" s="4879" t="s">
        <v>586</v>
      </c>
      <c r="L75" s="3161" t="s">
        <v>453</v>
      </c>
      <c r="M75" s="3166">
        <v>12</v>
      </c>
      <c r="N75" s="3156">
        <v>6</v>
      </c>
      <c r="O75" s="3158"/>
      <c r="P75" s="3183"/>
      <c r="Q75" s="3300"/>
      <c r="R75" s="3347">
        <f>+(W75+W76)/S67</f>
        <v>0.21465223797185387</v>
      </c>
      <c r="S75" s="3188"/>
      <c r="T75" s="3191"/>
      <c r="U75" s="3191"/>
      <c r="V75" s="1773" t="s">
        <v>587</v>
      </c>
      <c r="W75" s="1774">
        <v>56800000</v>
      </c>
      <c r="X75" s="1273">
        <v>17983333</v>
      </c>
      <c r="Y75" s="1273">
        <v>17983333</v>
      </c>
      <c r="Z75" s="3258"/>
      <c r="AA75" s="3324"/>
      <c r="AB75" s="3336"/>
      <c r="AC75" s="3339"/>
      <c r="AD75" s="3336"/>
      <c r="AE75" s="3339"/>
      <c r="AF75" s="3336"/>
      <c r="AG75" s="3339"/>
      <c r="AH75" s="3336"/>
      <c r="AI75" s="3339"/>
      <c r="AJ75" s="3336"/>
      <c r="AK75" s="3339"/>
      <c r="AL75" s="3336"/>
      <c r="AM75" s="3339"/>
      <c r="AN75" s="3336"/>
      <c r="AO75" s="3339"/>
      <c r="AP75" s="3336"/>
      <c r="AQ75" s="3339"/>
      <c r="AR75" s="3353"/>
      <c r="AS75" s="3339"/>
      <c r="AT75" s="3336"/>
      <c r="AU75" s="3339"/>
      <c r="AV75" s="3336"/>
      <c r="AW75" s="3339"/>
      <c r="AX75" s="3336"/>
      <c r="AY75" s="3339"/>
      <c r="AZ75" s="3336"/>
      <c r="BA75" s="3351"/>
      <c r="BB75" s="3336"/>
      <c r="BC75" s="3282"/>
      <c r="BD75" s="3336"/>
      <c r="BE75" s="3344"/>
      <c r="BF75" s="798">
        <v>42597</v>
      </c>
      <c r="BG75" s="799">
        <v>42597</v>
      </c>
      <c r="BH75" s="798">
        <v>42719</v>
      </c>
      <c r="BI75" s="799">
        <v>42724</v>
      </c>
      <c r="BJ75" s="3346"/>
    </row>
    <row r="76" spans="1:62" s="733" customFormat="1" ht="55.5" customHeight="1" x14ac:dyDescent="0.2">
      <c r="A76" s="3139"/>
      <c r="B76" s="3140"/>
      <c r="C76" s="3141"/>
      <c r="D76" s="3143"/>
      <c r="E76" s="3140"/>
      <c r="F76" s="3141"/>
      <c r="G76" s="3294"/>
      <c r="H76" s="3295"/>
      <c r="I76" s="3296"/>
      <c r="J76" s="3167"/>
      <c r="K76" s="4880"/>
      <c r="L76" s="3165"/>
      <c r="M76" s="3167"/>
      <c r="N76" s="3156"/>
      <c r="O76" s="3158"/>
      <c r="P76" s="3183"/>
      <c r="Q76" s="3300"/>
      <c r="R76" s="3349"/>
      <c r="S76" s="3188"/>
      <c r="T76" s="3191"/>
      <c r="U76" s="3191"/>
      <c r="V76" s="1773" t="s">
        <v>588</v>
      </c>
      <c r="W76" s="1774">
        <v>10800000</v>
      </c>
      <c r="X76" s="1273">
        <v>10800000</v>
      </c>
      <c r="Y76" s="1273">
        <v>7028278</v>
      </c>
      <c r="Z76" s="3258"/>
      <c r="AA76" s="3324"/>
      <c r="AB76" s="3336"/>
      <c r="AC76" s="3339"/>
      <c r="AD76" s="3336"/>
      <c r="AE76" s="3339"/>
      <c r="AF76" s="3336"/>
      <c r="AG76" s="3339"/>
      <c r="AH76" s="3336"/>
      <c r="AI76" s="3339"/>
      <c r="AJ76" s="3336"/>
      <c r="AK76" s="3339"/>
      <c r="AL76" s="3336"/>
      <c r="AM76" s="3339"/>
      <c r="AN76" s="3336"/>
      <c r="AO76" s="3339"/>
      <c r="AP76" s="3336"/>
      <c r="AQ76" s="3339"/>
      <c r="AR76" s="3353"/>
      <c r="AS76" s="3339"/>
      <c r="AT76" s="3336"/>
      <c r="AU76" s="3339"/>
      <c r="AV76" s="3336"/>
      <c r="AW76" s="3339"/>
      <c r="AX76" s="3336"/>
      <c r="AY76" s="3339"/>
      <c r="AZ76" s="3336"/>
      <c r="BA76" s="3351"/>
      <c r="BB76" s="3336"/>
      <c r="BC76" s="3282"/>
      <c r="BD76" s="3336"/>
      <c r="BE76" s="3344"/>
      <c r="BF76" s="798">
        <v>42597</v>
      </c>
      <c r="BG76" s="799">
        <v>42597</v>
      </c>
      <c r="BH76" s="798">
        <v>42719</v>
      </c>
      <c r="BI76" s="799">
        <v>42724</v>
      </c>
      <c r="BJ76" s="3346"/>
    </row>
    <row r="77" spans="1:62" ht="57" x14ac:dyDescent="0.2">
      <c r="A77" s="3139"/>
      <c r="B77" s="3140"/>
      <c r="C77" s="3141"/>
      <c r="D77" s="3143"/>
      <c r="E77" s="3140"/>
      <c r="F77" s="3141"/>
      <c r="G77" s="3294"/>
      <c r="H77" s="3295"/>
      <c r="I77" s="3296"/>
      <c r="J77" s="2275">
        <v>239</v>
      </c>
      <c r="K77" s="4871" t="s">
        <v>589</v>
      </c>
      <c r="L77" s="780" t="s">
        <v>453</v>
      </c>
      <c r="M77" s="2275">
        <v>1</v>
      </c>
      <c r="N77" s="2230">
        <v>0.02</v>
      </c>
      <c r="O77" s="3158"/>
      <c r="P77" s="3183"/>
      <c r="Q77" s="3300"/>
      <c r="R77" s="2272">
        <f>+W77/S67</f>
        <v>0.190608647055835</v>
      </c>
      <c r="S77" s="3188"/>
      <c r="T77" s="3191"/>
      <c r="U77" s="3191"/>
      <c r="V77" s="2269" t="s">
        <v>590</v>
      </c>
      <c r="W77" s="2270">
        <v>60028000</v>
      </c>
      <c r="X77" s="1273">
        <v>5000000</v>
      </c>
      <c r="Y77" s="1273">
        <v>5000000</v>
      </c>
      <c r="Z77" s="3258"/>
      <c r="AA77" s="3324"/>
      <c r="AB77" s="3336"/>
      <c r="AC77" s="3339"/>
      <c r="AD77" s="3336"/>
      <c r="AE77" s="3339"/>
      <c r="AF77" s="3336"/>
      <c r="AG77" s="3339"/>
      <c r="AH77" s="3336"/>
      <c r="AI77" s="3339"/>
      <c r="AJ77" s="3336"/>
      <c r="AK77" s="3339"/>
      <c r="AL77" s="3336"/>
      <c r="AM77" s="3339"/>
      <c r="AN77" s="3336"/>
      <c r="AO77" s="3339"/>
      <c r="AP77" s="3336"/>
      <c r="AQ77" s="3339"/>
      <c r="AR77" s="3353"/>
      <c r="AS77" s="3339"/>
      <c r="AT77" s="3336"/>
      <c r="AU77" s="3339"/>
      <c r="AV77" s="3336"/>
      <c r="AW77" s="3339"/>
      <c r="AX77" s="3336"/>
      <c r="AY77" s="3339"/>
      <c r="AZ77" s="3336"/>
      <c r="BA77" s="3351"/>
      <c r="BB77" s="3336"/>
      <c r="BC77" s="3282"/>
      <c r="BD77" s="3336"/>
      <c r="BE77" s="3344"/>
      <c r="BF77" s="798">
        <v>42625</v>
      </c>
      <c r="BG77" s="799">
        <v>42597</v>
      </c>
      <c r="BH77" s="800">
        <v>42819</v>
      </c>
      <c r="BI77" s="801">
        <v>42724</v>
      </c>
      <c r="BJ77" s="3346"/>
    </row>
    <row r="78" spans="1:62" ht="54" customHeight="1" x14ac:dyDescent="0.2">
      <c r="A78" s="3139"/>
      <c r="B78" s="3140"/>
      <c r="C78" s="3141"/>
      <c r="D78" s="3143"/>
      <c r="E78" s="3140"/>
      <c r="F78" s="3141"/>
      <c r="G78" s="3294"/>
      <c r="H78" s="3295"/>
      <c r="I78" s="3296"/>
      <c r="J78" s="3162">
        <v>240</v>
      </c>
      <c r="K78" s="4874" t="s">
        <v>591</v>
      </c>
      <c r="L78" s="3169" t="s">
        <v>592</v>
      </c>
      <c r="M78" s="3162">
        <v>1</v>
      </c>
      <c r="N78" s="3163">
        <v>0.7</v>
      </c>
      <c r="O78" s="3158"/>
      <c r="P78" s="3183"/>
      <c r="Q78" s="3300"/>
      <c r="R78" s="3278">
        <f>+(W78+W79)/S67</f>
        <v>0.25656658029771884</v>
      </c>
      <c r="S78" s="3188"/>
      <c r="T78" s="3191"/>
      <c r="U78" s="3191"/>
      <c r="V78" s="2269" t="s">
        <v>593</v>
      </c>
      <c r="W78" s="2270">
        <f>20000000+50000000</f>
        <v>70000000</v>
      </c>
      <c r="X78" s="1273">
        <v>57367300</v>
      </c>
      <c r="Y78" s="1273">
        <v>57367300</v>
      </c>
      <c r="Z78" s="3258"/>
      <c r="AA78" s="3324"/>
      <c r="AB78" s="3336"/>
      <c r="AC78" s="3339"/>
      <c r="AD78" s="3336"/>
      <c r="AE78" s="3339"/>
      <c r="AF78" s="3336"/>
      <c r="AG78" s="3339"/>
      <c r="AH78" s="3336"/>
      <c r="AI78" s="3339"/>
      <c r="AJ78" s="3336"/>
      <c r="AK78" s="3339"/>
      <c r="AL78" s="3336"/>
      <c r="AM78" s="3339"/>
      <c r="AN78" s="3336"/>
      <c r="AO78" s="3339"/>
      <c r="AP78" s="3336"/>
      <c r="AQ78" s="3339"/>
      <c r="AR78" s="3353"/>
      <c r="AS78" s="3339"/>
      <c r="AT78" s="3336"/>
      <c r="AU78" s="3339"/>
      <c r="AV78" s="3336"/>
      <c r="AW78" s="3339"/>
      <c r="AX78" s="3336"/>
      <c r="AY78" s="3339"/>
      <c r="AZ78" s="3336"/>
      <c r="BA78" s="3351"/>
      <c r="BB78" s="3336"/>
      <c r="BC78" s="3282"/>
      <c r="BD78" s="3336"/>
      <c r="BE78" s="3344"/>
      <c r="BF78" s="798">
        <v>42597</v>
      </c>
      <c r="BG78" s="799">
        <v>42598</v>
      </c>
      <c r="BH78" s="800">
        <v>42719</v>
      </c>
      <c r="BI78" s="801">
        <v>42720</v>
      </c>
      <c r="BJ78" s="3346"/>
    </row>
    <row r="79" spans="1:62" ht="45.75" customHeight="1" x14ac:dyDescent="0.2">
      <c r="A79" s="3139"/>
      <c r="B79" s="3140"/>
      <c r="C79" s="3141"/>
      <c r="D79" s="3143"/>
      <c r="E79" s="3140"/>
      <c r="F79" s="3141"/>
      <c r="G79" s="3294"/>
      <c r="H79" s="3295"/>
      <c r="I79" s="3296"/>
      <c r="J79" s="3168"/>
      <c r="K79" s="4876"/>
      <c r="L79" s="3170"/>
      <c r="M79" s="3168"/>
      <c r="N79" s="3164"/>
      <c r="O79" s="3159"/>
      <c r="P79" s="3214"/>
      <c r="Q79" s="3301"/>
      <c r="R79" s="3280"/>
      <c r="S79" s="3189"/>
      <c r="T79" s="3153"/>
      <c r="U79" s="3153"/>
      <c r="V79" s="823" t="s">
        <v>594</v>
      </c>
      <c r="W79" s="1263">
        <v>10800000</v>
      </c>
      <c r="X79" s="1273">
        <v>10800000</v>
      </c>
      <c r="Y79" s="1274">
        <v>9176000</v>
      </c>
      <c r="Z79" s="3259"/>
      <c r="AA79" s="3334"/>
      <c r="AB79" s="3337"/>
      <c r="AC79" s="3340"/>
      <c r="AD79" s="3337"/>
      <c r="AE79" s="3340"/>
      <c r="AF79" s="3337"/>
      <c r="AG79" s="3340"/>
      <c r="AH79" s="3337"/>
      <c r="AI79" s="3340"/>
      <c r="AJ79" s="3337"/>
      <c r="AK79" s="3340"/>
      <c r="AL79" s="3337"/>
      <c r="AM79" s="3340"/>
      <c r="AN79" s="3337"/>
      <c r="AO79" s="3340"/>
      <c r="AP79" s="3337"/>
      <c r="AQ79" s="3340"/>
      <c r="AR79" s="3353"/>
      <c r="AS79" s="3340"/>
      <c r="AT79" s="3337"/>
      <c r="AU79" s="3340"/>
      <c r="AV79" s="3337"/>
      <c r="AW79" s="3340"/>
      <c r="AX79" s="3337"/>
      <c r="AY79" s="3340"/>
      <c r="AZ79" s="3337"/>
      <c r="BA79" s="3352"/>
      <c r="BB79" s="3337"/>
      <c r="BC79" s="3283"/>
      <c r="BD79" s="3337"/>
      <c r="BE79" s="3345"/>
      <c r="BF79" s="798">
        <v>42638</v>
      </c>
      <c r="BG79" s="799">
        <v>42597</v>
      </c>
      <c r="BH79" s="800">
        <v>42719</v>
      </c>
      <c r="BI79" s="801">
        <v>42724</v>
      </c>
      <c r="BJ79" s="3346"/>
    </row>
    <row r="80" spans="1:62" ht="42.75" x14ac:dyDescent="0.2">
      <c r="A80" s="3139"/>
      <c r="B80" s="3140"/>
      <c r="C80" s="3141"/>
      <c r="D80" s="3143"/>
      <c r="E80" s="3140"/>
      <c r="F80" s="3141"/>
      <c r="G80" s="3294"/>
      <c r="H80" s="3295"/>
      <c r="I80" s="3296"/>
      <c r="J80" s="3318">
        <v>238</v>
      </c>
      <c r="K80" s="4884" t="s">
        <v>586</v>
      </c>
      <c r="L80" s="3249" t="s">
        <v>522</v>
      </c>
      <c r="M80" s="3311">
        <v>12</v>
      </c>
      <c r="N80" s="3156">
        <v>6</v>
      </c>
      <c r="O80" s="3227" t="s">
        <v>595</v>
      </c>
      <c r="P80" s="3182">
        <v>37</v>
      </c>
      <c r="Q80" s="3300" t="s">
        <v>596</v>
      </c>
      <c r="R80" s="3278">
        <f>+(W80+W81+W82)/S80</f>
        <v>0.35264246755689299</v>
      </c>
      <c r="S80" s="3187">
        <v>85072000</v>
      </c>
      <c r="T80" s="3152" t="s">
        <v>597</v>
      </c>
      <c r="U80" s="3152" t="s">
        <v>598</v>
      </c>
      <c r="V80" s="802" t="s">
        <v>599</v>
      </c>
      <c r="W80" s="2270">
        <v>10000000</v>
      </c>
      <c r="X80" s="1273">
        <v>10000000</v>
      </c>
      <c r="Y80" s="1273">
        <v>10000000</v>
      </c>
      <c r="Z80" s="3311">
        <v>20</v>
      </c>
      <c r="AA80" s="3333" t="s">
        <v>130</v>
      </c>
      <c r="AB80" s="3251">
        <v>2109</v>
      </c>
      <c r="AC80" s="3252">
        <v>2109</v>
      </c>
      <c r="AD80" s="3251">
        <v>2274</v>
      </c>
      <c r="AE80" s="3252">
        <v>2274</v>
      </c>
      <c r="AF80" s="3251">
        <v>865</v>
      </c>
      <c r="AG80" s="3252">
        <v>865</v>
      </c>
      <c r="AH80" s="3251">
        <v>2734</v>
      </c>
      <c r="AI80" s="3252">
        <v>2734</v>
      </c>
      <c r="AJ80" s="3251">
        <v>7443</v>
      </c>
      <c r="AK80" s="3252">
        <v>5573</v>
      </c>
      <c r="AL80" s="3251">
        <v>2562</v>
      </c>
      <c r="AM80" s="3252">
        <v>2562</v>
      </c>
      <c r="AN80" s="3251"/>
      <c r="AO80" s="3252"/>
      <c r="AP80" s="3251"/>
      <c r="AQ80" s="3252"/>
      <c r="AR80" s="3335"/>
      <c r="AS80" s="3252"/>
      <c r="AT80" s="3332"/>
      <c r="AU80" s="3330"/>
      <c r="AV80" s="3341"/>
      <c r="AW80" s="3330"/>
      <c r="AX80" s="3341"/>
      <c r="AY80" s="3330"/>
      <c r="AZ80" s="3263">
        <v>8</v>
      </c>
      <c r="BA80" s="3357">
        <f>SUM(X80:$X$87)</f>
        <v>85023680</v>
      </c>
      <c r="BB80" s="3357">
        <v>85023680</v>
      </c>
      <c r="BC80" s="3281">
        <f>BB80/BA80</f>
        <v>1</v>
      </c>
      <c r="BD80" s="3263">
        <v>20</v>
      </c>
      <c r="BE80" s="3284" t="s">
        <v>600</v>
      </c>
      <c r="BF80" s="798">
        <v>42410</v>
      </c>
      <c r="BG80" s="799">
        <v>42597</v>
      </c>
      <c r="BH80" s="800">
        <v>42543</v>
      </c>
      <c r="BI80" s="801">
        <v>42543</v>
      </c>
      <c r="BJ80" s="3346"/>
    </row>
    <row r="81" spans="1:62" ht="57" customHeight="1" x14ac:dyDescent="0.2">
      <c r="A81" s="3139"/>
      <c r="B81" s="3140"/>
      <c r="C81" s="3141"/>
      <c r="D81" s="3143"/>
      <c r="E81" s="3140"/>
      <c r="F81" s="3141"/>
      <c r="G81" s="3294"/>
      <c r="H81" s="3295"/>
      <c r="I81" s="3296"/>
      <c r="J81" s="3355"/>
      <c r="K81" s="4885"/>
      <c r="L81" s="3275"/>
      <c r="M81" s="3312"/>
      <c r="N81" s="3156"/>
      <c r="O81" s="3228"/>
      <c r="P81" s="3183"/>
      <c r="Q81" s="3300"/>
      <c r="R81" s="3279"/>
      <c r="S81" s="3188"/>
      <c r="T81" s="3191"/>
      <c r="U81" s="3191"/>
      <c r="V81" s="802" t="s">
        <v>601</v>
      </c>
      <c r="W81" s="2270">
        <v>10000000</v>
      </c>
      <c r="X81" s="1273">
        <v>10000000</v>
      </c>
      <c r="Y81" s="1273">
        <v>10000000</v>
      </c>
      <c r="Z81" s="3312"/>
      <c r="AA81" s="3324"/>
      <c r="AB81" s="3251"/>
      <c r="AC81" s="3253"/>
      <c r="AD81" s="3251"/>
      <c r="AE81" s="3253"/>
      <c r="AF81" s="3251"/>
      <c r="AG81" s="3253"/>
      <c r="AH81" s="3251"/>
      <c r="AI81" s="3253"/>
      <c r="AJ81" s="3251"/>
      <c r="AK81" s="3253"/>
      <c r="AL81" s="3251"/>
      <c r="AM81" s="3253"/>
      <c r="AN81" s="3251"/>
      <c r="AO81" s="3253"/>
      <c r="AP81" s="3251"/>
      <c r="AQ81" s="3253"/>
      <c r="AR81" s="3336"/>
      <c r="AS81" s="3253"/>
      <c r="AT81" s="3332"/>
      <c r="AU81" s="3354"/>
      <c r="AV81" s="3356"/>
      <c r="AW81" s="3354"/>
      <c r="AX81" s="3356"/>
      <c r="AY81" s="3354"/>
      <c r="AZ81" s="3264"/>
      <c r="BA81" s="3358"/>
      <c r="BB81" s="3358"/>
      <c r="BC81" s="3282"/>
      <c r="BD81" s="3264"/>
      <c r="BE81" s="3285"/>
      <c r="BF81" s="798">
        <v>42410</v>
      </c>
      <c r="BG81" s="799">
        <v>42597</v>
      </c>
      <c r="BH81" s="800">
        <v>42543</v>
      </c>
      <c r="BI81" s="801">
        <v>42543</v>
      </c>
      <c r="BJ81" s="3346"/>
    </row>
    <row r="82" spans="1:62" ht="71.25" x14ac:dyDescent="0.2">
      <c r="A82" s="3139"/>
      <c r="B82" s="3140"/>
      <c r="C82" s="3141"/>
      <c r="D82" s="3143"/>
      <c r="E82" s="3140"/>
      <c r="F82" s="3141"/>
      <c r="G82" s="3294"/>
      <c r="H82" s="3295"/>
      <c r="I82" s="3296"/>
      <c r="J82" s="3319"/>
      <c r="K82" s="4886"/>
      <c r="L82" s="3250"/>
      <c r="M82" s="3313"/>
      <c r="N82" s="3156"/>
      <c r="O82" s="3228"/>
      <c r="P82" s="3183"/>
      <c r="Q82" s="3300"/>
      <c r="R82" s="3280"/>
      <c r="S82" s="3188"/>
      <c r="T82" s="3191"/>
      <c r="U82" s="3191"/>
      <c r="V82" s="802" t="s">
        <v>602</v>
      </c>
      <c r="W82" s="2270">
        <v>10000000</v>
      </c>
      <c r="X82" s="1273">
        <v>10000000</v>
      </c>
      <c r="Y82" s="1273">
        <v>10000000</v>
      </c>
      <c r="Z82" s="3312"/>
      <c r="AA82" s="3324"/>
      <c r="AB82" s="3251"/>
      <c r="AC82" s="3253"/>
      <c r="AD82" s="3251"/>
      <c r="AE82" s="3253"/>
      <c r="AF82" s="3251"/>
      <c r="AG82" s="3253"/>
      <c r="AH82" s="3251"/>
      <c r="AI82" s="3253"/>
      <c r="AJ82" s="3251"/>
      <c r="AK82" s="3253"/>
      <c r="AL82" s="3251"/>
      <c r="AM82" s="3253"/>
      <c r="AN82" s="3251"/>
      <c r="AO82" s="3253"/>
      <c r="AP82" s="3251"/>
      <c r="AQ82" s="3253"/>
      <c r="AR82" s="3336"/>
      <c r="AS82" s="3253"/>
      <c r="AT82" s="3332"/>
      <c r="AU82" s="3354"/>
      <c r="AV82" s="3356"/>
      <c r="AW82" s="3354"/>
      <c r="AX82" s="3356"/>
      <c r="AY82" s="3354"/>
      <c r="AZ82" s="3264"/>
      <c r="BA82" s="3358"/>
      <c r="BB82" s="3358"/>
      <c r="BC82" s="3282"/>
      <c r="BD82" s="3264"/>
      <c r="BE82" s="3285"/>
      <c r="BF82" s="798">
        <v>42410</v>
      </c>
      <c r="BG82" s="799">
        <v>42597</v>
      </c>
      <c r="BH82" s="800">
        <v>42543</v>
      </c>
      <c r="BI82" s="801">
        <v>42543</v>
      </c>
      <c r="BJ82" s="3346"/>
    </row>
    <row r="83" spans="1:62" ht="84.75" customHeight="1" x14ac:dyDescent="0.2">
      <c r="A83" s="3139"/>
      <c r="B83" s="3140"/>
      <c r="C83" s="3141"/>
      <c r="D83" s="3143"/>
      <c r="E83" s="3140"/>
      <c r="F83" s="3141"/>
      <c r="G83" s="3294"/>
      <c r="H83" s="3295"/>
      <c r="I83" s="3296"/>
      <c r="J83" s="812">
        <v>237</v>
      </c>
      <c r="K83" s="821" t="s">
        <v>580</v>
      </c>
      <c r="L83" s="814" t="s">
        <v>522</v>
      </c>
      <c r="M83" s="811">
        <v>50</v>
      </c>
      <c r="N83" s="2230">
        <v>10</v>
      </c>
      <c r="O83" s="3228"/>
      <c r="P83" s="3183"/>
      <c r="Q83" s="3300"/>
      <c r="R83" s="2272">
        <f>+W83/S80</f>
        <v>0.17867218356215911</v>
      </c>
      <c r="S83" s="3188"/>
      <c r="T83" s="3191"/>
      <c r="U83" s="3191"/>
      <c r="V83" s="802" t="s">
        <v>603</v>
      </c>
      <c r="W83" s="2270">
        <v>15200000</v>
      </c>
      <c r="X83" s="1273">
        <v>15200000</v>
      </c>
      <c r="Y83" s="1273">
        <v>15200000</v>
      </c>
      <c r="Z83" s="3312"/>
      <c r="AA83" s="3324"/>
      <c r="AB83" s="3251"/>
      <c r="AC83" s="3253"/>
      <c r="AD83" s="3251"/>
      <c r="AE83" s="3253"/>
      <c r="AF83" s="3251"/>
      <c r="AG83" s="3253"/>
      <c r="AH83" s="3251"/>
      <c r="AI83" s="3253"/>
      <c r="AJ83" s="3251"/>
      <c r="AK83" s="3253"/>
      <c r="AL83" s="3251"/>
      <c r="AM83" s="3253"/>
      <c r="AN83" s="3251"/>
      <c r="AO83" s="3253"/>
      <c r="AP83" s="3251"/>
      <c r="AQ83" s="3253"/>
      <c r="AR83" s="3336"/>
      <c r="AS83" s="3253"/>
      <c r="AT83" s="3332"/>
      <c r="AU83" s="3354"/>
      <c r="AV83" s="3356"/>
      <c r="AW83" s="3354"/>
      <c r="AX83" s="3356"/>
      <c r="AY83" s="3354"/>
      <c r="AZ83" s="3264"/>
      <c r="BA83" s="3358"/>
      <c r="BB83" s="3358"/>
      <c r="BC83" s="3282"/>
      <c r="BD83" s="3264"/>
      <c r="BE83" s="3285"/>
      <c r="BF83" s="798">
        <v>42410</v>
      </c>
      <c r="BG83" s="799">
        <v>42597</v>
      </c>
      <c r="BH83" s="800">
        <v>42543</v>
      </c>
      <c r="BI83" s="801">
        <v>42543</v>
      </c>
      <c r="BJ83" s="3346"/>
    </row>
    <row r="84" spans="1:62" ht="57" x14ac:dyDescent="0.2">
      <c r="A84" s="3139"/>
      <c r="B84" s="3140"/>
      <c r="C84" s="3141"/>
      <c r="D84" s="3143"/>
      <c r="E84" s="3140"/>
      <c r="F84" s="3141"/>
      <c r="G84" s="3294"/>
      <c r="H84" s="3295"/>
      <c r="I84" s="3296"/>
      <c r="J84" s="3318">
        <v>240</v>
      </c>
      <c r="K84" s="4884" t="s">
        <v>591</v>
      </c>
      <c r="L84" s="3249" t="s">
        <v>522</v>
      </c>
      <c r="M84" s="3311">
        <v>1</v>
      </c>
      <c r="N84" s="3156">
        <v>0.3</v>
      </c>
      <c r="O84" s="3228"/>
      <c r="P84" s="3183"/>
      <c r="Q84" s="3300"/>
      <c r="R84" s="3278">
        <f>+(W84+W85+W86+W87)/S80</f>
        <v>0.46868534888094793</v>
      </c>
      <c r="S84" s="3188"/>
      <c r="T84" s="3191"/>
      <c r="U84" s="3191"/>
      <c r="V84" s="802" t="s">
        <v>604</v>
      </c>
      <c r="W84" s="2270">
        <v>5000000</v>
      </c>
      <c r="X84" s="1273">
        <v>5000000</v>
      </c>
      <c r="Y84" s="1273">
        <v>5000000</v>
      </c>
      <c r="Z84" s="3312"/>
      <c r="AA84" s="3324"/>
      <c r="AB84" s="3251"/>
      <c r="AC84" s="3253"/>
      <c r="AD84" s="3251"/>
      <c r="AE84" s="3253"/>
      <c r="AF84" s="3251"/>
      <c r="AG84" s="3253"/>
      <c r="AH84" s="3251"/>
      <c r="AI84" s="3253"/>
      <c r="AJ84" s="3251"/>
      <c r="AK84" s="3253"/>
      <c r="AL84" s="3251"/>
      <c r="AM84" s="3253"/>
      <c r="AN84" s="3251"/>
      <c r="AO84" s="3253"/>
      <c r="AP84" s="3251"/>
      <c r="AQ84" s="3253"/>
      <c r="AR84" s="3336"/>
      <c r="AS84" s="3253"/>
      <c r="AT84" s="3332"/>
      <c r="AU84" s="3354"/>
      <c r="AV84" s="3356"/>
      <c r="AW84" s="3354"/>
      <c r="AX84" s="3356"/>
      <c r="AY84" s="3354"/>
      <c r="AZ84" s="3264"/>
      <c r="BA84" s="3358"/>
      <c r="BB84" s="3358"/>
      <c r="BC84" s="3282"/>
      <c r="BD84" s="3264"/>
      <c r="BE84" s="3285"/>
      <c r="BF84" s="798">
        <v>42533</v>
      </c>
      <c r="BG84" s="799">
        <v>42454</v>
      </c>
      <c r="BH84" s="800">
        <v>42623</v>
      </c>
      <c r="BI84" s="801">
        <v>42724</v>
      </c>
      <c r="BJ84" s="3346"/>
    </row>
    <row r="85" spans="1:62" ht="71.25" customHeight="1" x14ac:dyDescent="0.2">
      <c r="A85" s="3139"/>
      <c r="B85" s="3140"/>
      <c r="C85" s="3141"/>
      <c r="D85" s="3143"/>
      <c r="E85" s="3140"/>
      <c r="F85" s="3141"/>
      <c r="G85" s="3294"/>
      <c r="H85" s="3295"/>
      <c r="I85" s="3296"/>
      <c r="J85" s="3355"/>
      <c r="K85" s="4885"/>
      <c r="L85" s="3275"/>
      <c r="M85" s="3312"/>
      <c r="N85" s="3156"/>
      <c r="O85" s="3228"/>
      <c r="P85" s="3183"/>
      <c r="Q85" s="3300"/>
      <c r="R85" s="3279"/>
      <c r="S85" s="3188"/>
      <c r="T85" s="3191"/>
      <c r="U85" s="3191"/>
      <c r="V85" s="802" t="s">
        <v>605</v>
      </c>
      <c r="W85" s="2270">
        <v>0</v>
      </c>
      <c r="X85" s="1273">
        <v>0</v>
      </c>
      <c r="Y85" s="1273">
        <v>0</v>
      </c>
      <c r="Z85" s="3312"/>
      <c r="AA85" s="3324"/>
      <c r="AB85" s="3251"/>
      <c r="AC85" s="3253"/>
      <c r="AD85" s="3251"/>
      <c r="AE85" s="3253"/>
      <c r="AF85" s="3251"/>
      <c r="AG85" s="3253"/>
      <c r="AH85" s="3251"/>
      <c r="AI85" s="3253"/>
      <c r="AJ85" s="3251"/>
      <c r="AK85" s="3253"/>
      <c r="AL85" s="3251"/>
      <c r="AM85" s="3253"/>
      <c r="AN85" s="3251"/>
      <c r="AO85" s="3253"/>
      <c r="AP85" s="3251"/>
      <c r="AQ85" s="3253"/>
      <c r="AR85" s="3336"/>
      <c r="AS85" s="3253"/>
      <c r="AT85" s="3332"/>
      <c r="AU85" s="3354"/>
      <c r="AV85" s="3356"/>
      <c r="AW85" s="3354"/>
      <c r="AX85" s="3356"/>
      <c r="AY85" s="3354"/>
      <c r="AZ85" s="3264"/>
      <c r="BA85" s="3358"/>
      <c r="BB85" s="3358"/>
      <c r="BC85" s="3282"/>
      <c r="BD85" s="3264"/>
      <c r="BE85" s="3285"/>
      <c r="BF85" s="798">
        <v>42410</v>
      </c>
      <c r="BG85" s="799"/>
      <c r="BH85" s="800">
        <v>42543</v>
      </c>
      <c r="BI85" s="801"/>
      <c r="BJ85" s="3346"/>
    </row>
    <row r="86" spans="1:62" ht="57" x14ac:dyDescent="0.2">
      <c r="A86" s="3139"/>
      <c r="B86" s="3140"/>
      <c r="C86" s="3141"/>
      <c r="D86" s="3143"/>
      <c r="E86" s="3140"/>
      <c r="F86" s="3141"/>
      <c r="G86" s="3294"/>
      <c r="H86" s="3295"/>
      <c r="I86" s="3296"/>
      <c r="J86" s="3355"/>
      <c r="K86" s="4885"/>
      <c r="L86" s="3275"/>
      <c r="M86" s="3312"/>
      <c r="N86" s="3156"/>
      <c r="O86" s="3228"/>
      <c r="P86" s="3183"/>
      <c r="Q86" s="3300"/>
      <c r="R86" s="3279"/>
      <c r="S86" s="3188"/>
      <c r="T86" s="3191"/>
      <c r="U86" s="3191"/>
      <c r="V86" s="802" t="s">
        <v>606</v>
      </c>
      <c r="W86" s="2270">
        <v>4872000</v>
      </c>
      <c r="X86" s="1273">
        <v>4872000</v>
      </c>
      <c r="Y86" s="1274">
        <v>4872000</v>
      </c>
      <c r="Z86" s="3312"/>
      <c r="AA86" s="3324"/>
      <c r="AB86" s="3251"/>
      <c r="AC86" s="3253"/>
      <c r="AD86" s="3251"/>
      <c r="AE86" s="3253"/>
      <c r="AF86" s="3251"/>
      <c r="AG86" s="3253"/>
      <c r="AH86" s="3251"/>
      <c r="AI86" s="3253"/>
      <c r="AJ86" s="3251"/>
      <c r="AK86" s="3253"/>
      <c r="AL86" s="3251"/>
      <c r="AM86" s="3253"/>
      <c r="AN86" s="3251"/>
      <c r="AO86" s="3253"/>
      <c r="AP86" s="3251"/>
      <c r="AQ86" s="3253"/>
      <c r="AR86" s="3336"/>
      <c r="AS86" s="3253"/>
      <c r="AT86" s="3332"/>
      <c r="AU86" s="3354"/>
      <c r="AV86" s="3356"/>
      <c r="AW86" s="3354"/>
      <c r="AX86" s="3356"/>
      <c r="AY86" s="3354"/>
      <c r="AZ86" s="3264"/>
      <c r="BA86" s="3358"/>
      <c r="BB86" s="3358"/>
      <c r="BC86" s="3282"/>
      <c r="BD86" s="3264"/>
      <c r="BE86" s="3285"/>
      <c r="BF86" s="798">
        <v>42480</v>
      </c>
      <c r="BG86" s="799">
        <v>42526</v>
      </c>
      <c r="BH86" s="800">
        <v>42600</v>
      </c>
      <c r="BI86" s="801">
        <v>42651</v>
      </c>
      <c r="BJ86" s="3346"/>
    </row>
    <row r="87" spans="1:62" ht="70.5" customHeight="1" x14ac:dyDescent="0.2">
      <c r="A87" s="3139"/>
      <c r="B87" s="3140"/>
      <c r="C87" s="3141"/>
      <c r="D87" s="3143"/>
      <c r="E87" s="3140"/>
      <c r="F87" s="3141"/>
      <c r="G87" s="3297"/>
      <c r="H87" s="3298"/>
      <c r="I87" s="3299"/>
      <c r="J87" s="3319"/>
      <c r="K87" s="4886"/>
      <c r="L87" s="3250"/>
      <c r="M87" s="3313"/>
      <c r="N87" s="3156"/>
      <c r="O87" s="3240"/>
      <c r="P87" s="3214"/>
      <c r="Q87" s="3301"/>
      <c r="R87" s="3280"/>
      <c r="S87" s="3189"/>
      <c r="T87" s="3153"/>
      <c r="U87" s="3153"/>
      <c r="V87" s="802" t="s">
        <v>607</v>
      </c>
      <c r="W87" s="2270">
        <v>30000000</v>
      </c>
      <c r="X87" s="1273">
        <v>29951680</v>
      </c>
      <c r="Y87" s="1273">
        <v>29951680</v>
      </c>
      <c r="Z87" s="3313"/>
      <c r="AA87" s="3334"/>
      <c r="AB87" s="3251"/>
      <c r="AC87" s="3254"/>
      <c r="AD87" s="3251"/>
      <c r="AE87" s="3254"/>
      <c r="AF87" s="3251"/>
      <c r="AG87" s="3254"/>
      <c r="AH87" s="3251"/>
      <c r="AI87" s="3254"/>
      <c r="AJ87" s="3251"/>
      <c r="AK87" s="3254"/>
      <c r="AL87" s="3251"/>
      <c r="AM87" s="3254"/>
      <c r="AN87" s="3251"/>
      <c r="AO87" s="3254"/>
      <c r="AP87" s="3251"/>
      <c r="AQ87" s="3254"/>
      <c r="AR87" s="3337"/>
      <c r="AS87" s="3254"/>
      <c r="AT87" s="3332"/>
      <c r="AU87" s="3331"/>
      <c r="AV87" s="3342"/>
      <c r="AW87" s="3331"/>
      <c r="AX87" s="3342"/>
      <c r="AY87" s="3331"/>
      <c r="AZ87" s="3265"/>
      <c r="BA87" s="3359"/>
      <c r="BB87" s="3359"/>
      <c r="BC87" s="3283"/>
      <c r="BD87" s="3265"/>
      <c r="BE87" s="3286"/>
      <c r="BF87" s="798">
        <v>42512</v>
      </c>
      <c r="BG87" s="799">
        <v>42510</v>
      </c>
      <c r="BH87" s="800">
        <v>42658</v>
      </c>
      <c r="BI87" s="801">
        <v>42724</v>
      </c>
      <c r="BJ87" s="3346"/>
    </row>
    <row r="88" spans="1:62" ht="36" customHeight="1" x14ac:dyDescent="0.2">
      <c r="A88" s="3139"/>
      <c r="B88" s="3140"/>
      <c r="C88" s="3141"/>
      <c r="D88" s="3143"/>
      <c r="E88" s="3140"/>
      <c r="F88" s="3141"/>
      <c r="G88" s="824">
        <v>82</v>
      </c>
      <c r="H88" s="825" t="s">
        <v>608</v>
      </c>
      <c r="I88" s="826"/>
      <c r="J88" s="826"/>
      <c r="K88" s="4887"/>
      <c r="L88" s="826"/>
      <c r="M88" s="826"/>
      <c r="N88" s="1886"/>
      <c r="O88" s="826"/>
      <c r="P88" s="826"/>
      <c r="Q88" s="826"/>
      <c r="R88" s="826"/>
      <c r="S88" s="826"/>
      <c r="T88" s="826"/>
      <c r="U88" s="826"/>
      <c r="V88" s="826"/>
      <c r="W88" s="826"/>
      <c r="X88" s="827"/>
      <c r="Y88" s="827"/>
      <c r="Z88" s="826"/>
      <c r="AA88" s="826"/>
      <c r="AB88" s="826"/>
      <c r="AC88" s="827"/>
      <c r="AD88" s="826"/>
      <c r="AE88" s="827"/>
      <c r="AF88" s="826"/>
      <c r="AG88" s="827"/>
      <c r="AH88" s="826"/>
      <c r="AI88" s="827"/>
      <c r="AJ88" s="826"/>
      <c r="AK88" s="827"/>
      <c r="AL88" s="826"/>
      <c r="AM88" s="827"/>
      <c r="AN88" s="826"/>
      <c r="AO88" s="827"/>
      <c r="AP88" s="826"/>
      <c r="AQ88" s="827"/>
      <c r="AR88" s="826"/>
      <c r="AS88" s="827"/>
      <c r="AT88" s="826"/>
      <c r="AU88" s="827"/>
      <c r="AV88" s="826"/>
      <c r="AW88" s="827"/>
      <c r="AX88" s="826"/>
      <c r="AY88" s="827"/>
      <c r="AZ88" s="826"/>
      <c r="BA88" s="826"/>
      <c r="BB88" s="826"/>
      <c r="BC88" s="826"/>
      <c r="BD88" s="826"/>
      <c r="BE88" s="826"/>
      <c r="BF88" s="826"/>
      <c r="BG88" s="827"/>
      <c r="BH88" s="826"/>
      <c r="BI88" s="827"/>
      <c r="BJ88" s="828"/>
    </row>
    <row r="89" spans="1:62" ht="51" customHeight="1" x14ac:dyDescent="0.2">
      <c r="A89" s="3139"/>
      <c r="B89" s="3140"/>
      <c r="C89" s="3141"/>
      <c r="D89" s="3143"/>
      <c r="E89" s="3140"/>
      <c r="F89" s="3141"/>
      <c r="G89" s="3291"/>
      <c r="H89" s="3292"/>
      <c r="I89" s="3293"/>
      <c r="J89" s="3162">
        <v>241</v>
      </c>
      <c r="K89" s="4874" t="s">
        <v>609</v>
      </c>
      <c r="L89" s="3161" t="s">
        <v>453</v>
      </c>
      <c r="M89" s="3311">
        <v>1</v>
      </c>
      <c r="N89" s="3156">
        <v>1</v>
      </c>
      <c r="O89" s="3157" t="s">
        <v>610</v>
      </c>
      <c r="P89" s="3182">
        <v>38</v>
      </c>
      <c r="Q89" s="3185" t="s">
        <v>611</v>
      </c>
      <c r="R89" s="3278">
        <f>+(W89+W90+W91)/S89</f>
        <v>0.5625</v>
      </c>
      <c r="S89" s="3187">
        <v>80000000</v>
      </c>
      <c r="T89" s="3152" t="s">
        <v>573</v>
      </c>
      <c r="U89" s="3152" t="s">
        <v>612</v>
      </c>
      <c r="V89" s="829" t="s">
        <v>613</v>
      </c>
      <c r="W89" s="2270">
        <v>10000000</v>
      </c>
      <c r="X89" s="2271">
        <v>10000000</v>
      </c>
      <c r="Y89" s="2271">
        <v>10000000</v>
      </c>
      <c r="Z89" s="3311">
        <v>20</v>
      </c>
      <c r="AA89" s="3260" t="s">
        <v>130</v>
      </c>
      <c r="AB89" s="3162">
        <v>1058</v>
      </c>
      <c r="AC89" s="3288">
        <v>575</v>
      </c>
      <c r="AD89" s="3162">
        <v>1191</v>
      </c>
      <c r="AE89" s="3288">
        <v>647</v>
      </c>
      <c r="AF89" s="3162">
        <v>453</v>
      </c>
      <c r="AG89" s="3288">
        <v>246</v>
      </c>
      <c r="AH89" s="3162">
        <v>1432</v>
      </c>
      <c r="AI89" s="3288">
        <v>778</v>
      </c>
      <c r="AJ89" s="3162">
        <v>3899</v>
      </c>
      <c r="AK89" s="3288">
        <v>2118</v>
      </c>
      <c r="AL89" s="3162">
        <v>1342</v>
      </c>
      <c r="AM89" s="3288">
        <v>729</v>
      </c>
      <c r="AN89" s="3162"/>
      <c r="AO89" s="3288"/>
      <c r="AP89" s="3162"/>
      <c r="AQ89" s="3288"/>
      <c r="AR89" s="3162"/>
      <c r="AS89" s="3288"/>
      <c r="AT89" s="3162"/>
      <c r="AU89" s="3288"/>
      <c r="AV89" s="3162"/>
      <c r="AW89" s="3288"/>
      <c r="AX89" s="3162"/>
      <c r="AY89" s="3288"/>
      <c r="AZ89" s="3162">
        <v>5</v>
      </c>
      <c r="BA89" s="3162">
        <f>SUM(X89:$X$92)</f>
        <v>43468250</v>
      </c>
      <c r="BB89" s="3166">
        <v>38758750</v>
      </c>
      <c r="BC89" s="3281">
        <f>BB89/BA89</f>
        <v>0.89165655392154042</v>
      </c>
      <c r="BD89" s="3162">
        <v>20</v>
      </c>
      <c r="BE89" s="3325" t="s">
        <v>600</v>
      </c>
      <c r="BF89" s="798">
        <v>42597</v>
      </c>
      <c r="BG89" s="799">
        <v>42597</v>
      </c>
      <c r="BH89" s="800">
        <v>42719</v>
      </c>
      <c r="BI89" s="2266">
        <v>42724</v>
      </c>
      <c r="BJ89" s="3360" t="s">
        <v>460</v>
      </c>
    </row>
    <row r="90" spans="1:62" ht="57" x14ac:dyDescent="0.2">
      <c r="A90" s="3139"/>
      <c r="B90" s="3140"/>
      <c r="C90" s="3141"/>
      <c r="D90" s="3143"/>
      <c r="E90" s="3140"/>
      <c r="F90" s="3141"/>
      <c r="G90" s="3294"/>
      <c r="H90" s="3295"/>
      <c r="I90" s="3296"/>
      <c r="J90" s="3287"/>
      <c r="K90" s="4875"/>
      <c r="L90" s="3203"/>
      <c r="M90" s="3312"/>
      <c r="N90" s="3156"/>
      <c r="O90" s="3158"/>
      <c r="P90" s="3183"/>
      <c r="Q90" s="3300"/>
      <c r="R90" s="3279"/>
      <c r="S90" s="3188"/>
      <c r="T90" s="3191"/>
      <c r="U90" s="3191"/>
      <c r="V90" s="829" t="s">
        <v>614</v>
      </c>
      <c r="W90" s="2270">
        <v>28000000</v>
      </c>
      <c r="X90" s="2271">
        <v>4709500</v>
      </c>
      <c r="Y90" s="2271">
        <v>0</v>
      </c>
      <c r="Z90" s="3312"/>
      <c r="AA90" s="3261"/>
      <c r="AB90" s="3287"/>
      <c r="AC90" s="3289"/>
      <c r="AD90" s="3287"/>
      <c r="AE90" s="3289"/>
      <c r="AF90" s="3287"/>
      <c r="AG90" s="3289"/>
      <c r="AH90" s="3287"/>
      <c r="AI90" s="3289"/>
      <c r="AJ90" s="3287"/>
      <c r="AK90" s="3289"/>
      <c r="AL90" s="3287"/>
      <c r="AM90" s="3289"/>
      <c r="AN90" s="3287"/>
      <c r="AO90" s="3289"/>
      <c r="AP90" s="3287"/>
      <c r="AQ90" s="3289"/>
      <c r="AR90" s="3287"/>
      <c r="AS90" s="3289"/>
      <c r="AT90" s="3287"/>
      <c r="AU90" s="3289"/>
      <c r="AV90" s="3287"/>
      <c r="AW90" s="3289"/>
      <c r="AX90" s="3287"/>
      <c r="AY90" s="3289"/>
      <c r="AZ90" s="3287"/>
      <c r="BA90" s="3287"/>
      <c r="BB90" s="3276"/>
      <c r="BC90" s="3282"/>
      <c r="BD90" s="3287"/>
      <c r="BE90" s="3326"/>
      <c r="BF90" s="830">
        <v>42638</v>
      </c>
      <c r="BG90" s="799">
        <v>42639</v>
      </c>
      <c r="BH90" s="800">
        <v>42719</v>
      </c>
      <c r="BI90" s="801">
        <v>42720</v>
      </c>
      <c r="BJ90" s="3361"/>
    </row>
    <row r="91" spans="1:62" ht="33" customHeight="1" x14ac:dyDescent="0.2">
      <c r="A91" s="3139"/>
      <c r="B91" s="3140"/>
      <c r="C91" s="3141"/>
      <c r="D91" s="3143"/>
      <c r="E91" s="3140"/>
      <c r="F91" s="3141"/>
      <c r="G91" s="3294"/>
      <c r="H91" s="3295"/>
      <c r="I91" s="3296"/>
      <c r="J91" s="3168"/>
      <c r="K91" s="4876"/>
      <c r="L91" s="3165"/>
      <c r="M91" s="3313"/>
      <c r="N91" s="3156"/>
      <c r="O91" s="3158"/>
      <c r="P91" s="3183"/>
      <c r="Q91" s="3300"/>
      <c r="R91" s="3280"/>
      <c r="S91" s="3188"/>
      <c r="T91" s="3191"/>
      <c r="U91" s="3191"/>
      <c r="V91" s="829" t="s">
        <v>615</v>
      </c>
      <c r="W91" s="2270">
        <v>7000000</v>
      </c>
      <c r="X91" s="2271">
        <v>0</v>
      </c>
      <c r="Y91" s="2271">
        <v>0</v>
      </c>
      <c r="Z91" s="3312"/>
      <c r="AA91" s="3261"/>
      <c r="AB91" s="3287"/>
      <c r="AC91" s="3289"/>
      <c r="AD91" s="3287"/>
      <c r="AE91" s="3289"/>
      <c r="AF91" s="3287"/>
      <c r="AG91" s="3289"/>
      <c r="AH91" s="3287"/>
      <c r="AI91" s="3289"/>
      <c r="AJ91" s="3287"/>
      <c r="AK91" s="3289"/>
      <c r="AL91" s="3287"/>
      <c r="AM91" s="3289"/>
      <c r="AN91" s="3287"/>
      <c r="AO91" s="3289"/>
      <c r="AP91" s="3287"/>
      <c r="AQ91" s="3289"/>
      <c r="AR91" s="3287"/>
      <c r="AS91" s="3289"/>
      <c r="AT91" s="3287"/>
      <c r="AU91" s="3289"/>
      <c r="AV91" s="3287"/>
      <c r="AW91" s="3289"/>
      <c r="AX91" s="3287"/>
      <c r="AY91" s="3289"/>
      <c r="AZ91" s="3287"/>
      <c r="BA91" s="3287"/>
      <c r="BB91" s="3276"/>
      <c r="BC91" s="3282"/>
      <c r="BD91" s="3287"/>
      <c r="BE91" s="3326"/>
      <c r="BF91" s="798">
        <v>42638</v>
      </c>
      <c r="BG91" s="799"/>
      <c r="BH91" s="800">
        <v>42719</v>
      </c>
      <c r="BI91" s="801"/>
      <c r="BJ91" s="3361"/>
    </row>
    <row r="92" spans="1:62" ht="116.25" customHeight="1" x14ac:dyDescent="0.2">
      <c r="A92" s="3142"/>
      <c r="B92" s="3140"/>
      <c r="C92" s="3141"/>
      <c r="D92" s="3144"/>
      <c r="E92" s="3145"/>
      <c r="F92" s="3146"/>
      <c r="G92" s="3297"/>
      <c r="H92" s="3298"/>
      <c r="I92" s="3299"/>
      <c r="J92" s="2226">
        <v>242</v>
      </c>
      <c r="K92" s="4888" t="s">
        <v>616</v>
      </c>
      <c r="L92" s="831" t="s">
        <v>453</v>
      </c>
      <c r="M92" s="2242">
        <v>1</v>
      </c>
      <c r="N92" s="2246">
        <v>1</v>
      </c>
      <c r="O92" s="3158"/>
      <c r="P92" s="3183"/>
      <c r="Q92" s="3300"/>
      <c r="R92" s="2238">
        <f>+(W92)/S89</f>
        <v>0.4375</v>
      </c>
      <c r="S92" s="3189"/>
      <c r="T92" s="3323"/>
      <c r="U92" s="3323"/>
      <c r="V92" s="820" t="s">
        <v>617</v>
      </c>
      <c r="W92" s="1263">
        <v>35000000</v>
      </c>
      <c r="X92" s="2271">
        <v>28758750</v>
      </c>
      <c r="Y92" s="2271">
        <v>28758750</v>
      </c>
      <c r="Z92" s="3312"/>
      <c r="AA92" s="3261"/>
      <c r="AB92" s="3287"/>
      <c r="AC92" s="3290"/>
      <c r="AD92" s="3287"/>
      <c r="AE92" s="3290"/>
      <c r="AF92" s="3287"/>
      <c r="AG92" s="3290"/>
      <c r="AH92" s="3287"/>
      <c r="AI92" s="3290"/>
      <c r="AJ92" s="3287"/>
      <c r="AK92" s="3290"/>
      <c r="AL92" s="3287"/>
      <c r="AM92" s="3290"/>
      <c r="AN92" s="3287"/>
      <c r="AO92" s="3290"/>
      <c r="AP92" s="3287"/>
      <c r="AQ92" s="3290"/>
      <c r="AR92" s="3168"/>
      <c r="AS92" s="3290"/>
      <c r="AT92" s="3287"/>
      <c r="AU92" s="3290"/>
      <c r="AV92" s="3168"/>
      <c r="AW92" s="3290"/>
      <c r="AX92" s="3168"/>
      <c r="AY92" s="3290"/>
      <c r="AZ92" s="3168"/>
      <c r="BA92" s="3168"/>
      <c r="BB92" s="3167"/>
      <c r="BC92" s="3283"/>
      <c r="BD92" s="3168"/>
      <c r="BE92" s="3327"/>
      <c r="BF92" s="2260">
        <v>42638</v>
      </c>
      <c r="BG92" s="2262">
        <v>42639</v>
      </c>
      <c r="BH92" s="2264">
        <v>42719</v>
      </c>
      <c r="BI92" s="2264">
        <v>42720</v>
      </c>
      <c r="BJ92" s="3362"/>
    </row>
    <row r="93" spans="1:62" ht="32.25" customHeight="1" x14ac:dyDescent="0.2">
      <c r="A93" s="832">
        <v>5</v>
      </c>
      <c r="B93" s="833" t="s">
        <v>55</v>
      </c>
      <c r="C93" s="834"/>
      <c r="D93" s="834"/>
      <c r="E93" s="834"/>
      <c r="F93" s="834"/>
      <c r="G93" s="834"/>
      <c r="H93" s="834"/>
      <c r="I93" s="834"/>
      <c r="J93" s="834"/>
      <c r="K93" s="4889"/>
      <c r="L93" s="834"/>
      <c r="M93" s="834"/>
      <c r="N93" s="1887"/>
      <c r="O93" s="834"/>
      <c r="P93" s="834"/>
      <c r="Q93" s="834"/>
      <c r="R93" s="834"/>
      <c r="S93" s="834"/>
      <c r="T93" s="834"/>
      <c r="U93" s="834"/>
      <c r="V93" s="834"/>
      <c r="W93" s="834"/>
      <c r="X93" s="835"/>
      <c r="Y93" s="835"/>
      <c r="Z93" s="834"/>
      <c r="AA93" s="834"/>
      <c r="AB93" s="834"/>
      <c r="AC93" s="835"/>
      <c r="AD93" s="834"/>
      <c r="AE93" s="835"/>
      <c r="AF93" s="834"/>
      <c r="AG93" s="835"/>
      <c r="AH93" s="834"/>
      <c r="AI93" s="835"/>
      <c r="AJ93" s="834"/>
      <c r="AK93" s="835"/>
      <c r="AL93" s="834"/>
      <c r="AM93" s="835"/>
      <c r="AN93" s="834"/>
      <c r="AO93" s="835"/>
      <c r="AP93" s="834"/>
      <c r="AQ93" s="835"/>
      <c r="AR93" s="834"/>
      <c r="AS93" s="835"/>
      <c r="AT93" s="834"/>
      <c r="AU93" s="835"/>
      <c r="AV93" s="834"/>
      <c r="AW93" s="835"/>
      <c r="AX93" s="834"/>
      <c r="AY93" s="835"/>
      <c r="AZ93" s="834"/>
      <c r="BA93" s="834"/>
      <c r="BB93" s="834"/>
      <c r="BC93" s="834"/>
      <c r="BD93" s="834"/>
      <c r="BE93" s="834"/>
      <c r="BF93" s="834"/>
      <c r="BG93" s="835"/>
      <c r="BH93" s="834"/>
      <c r="BI93" s="835"/>
      <c r="BJ93" s="836"/>
    </row>
    <row r="94" spans="1:62" ht="29.25" customHeight="1" x14ac:dyDescent="0.2">
      <c r="A94" s="3140"/>
      <c r="B94" s="3140"/>
      <c r="C94" s="3141"/>
      <c r="D94" s="837">
        <v>26</v>
      </c>
      <c r="E94" s="838" t="s">
        <v>618</v>
      </c>
      <c r="F94" s="839"/>
      <c r="G94" s="839"/>
      <c r="H94" s="839"/>
      <c r="I94" s="839"/>
      <c r="J94" s="839"/>
      <c r="K94" s="4890"/>
      <c r="L94" s="839"/>
      <c r="M94" s="839"/>
      <c r="N94" s="1888"/>
      <c r="O94" s="839"/>
      <c r="P94" s="839"/>
      <c r="Q94" s="839"/>
      <c r="R94" s="839"/>
      <c r="S94" s="839"/>
      <c r="T94" s="839"/>
      <c r="U94" s="839"/>
      <c r="V94" s="839"/>
      <c r="W94" s="839"/>
      <c r="X94" s="840"/>
      <c r="Y94" s="840"/>
      <c r="Z94" s="839"/>
      <c r="AA94" s="839"/>
      <c r="AB94" s="839"/>
      <c r="AC94" s="840"/>
      <c r="AD94" s="839"/>
      <c r="AE94" s="840"/>
      <c r="AF94" s="839"/>
      <c r="AG94" s="840"/>
      <c r="AH94" s="839"/>
      <c r="AI94" s="840"/>
      <c r="AJ94" s="839"/>
      <c r="AK94" s="840"/>
      <c r="AL94" s="839"/>
      <c r="AM94" s="840"/>
      <c r="AN94" s="839"/>
      <c r="AO94" s="840"/>
      <c r="AP94" s="839"/>
      <c r="AQ94" s="840"/>
      <c r="AR94" s="839"/>
      <c r="AS94" s="840"/>
      <c r="AT94" s="839"/>
      <c r="AU94" s="840"/>
      <c r="AV94" s="839"/>
      <c r="AW94" s="840"/>
      <c r="AX94" s="839"/>
      <c r="AY94" s="840"/>
      <c r="AZ94" s="839"/>
      <c r="BA94" s="839"/>
      <c r="BB94" s="839"/>
      <c r="BC94" s="839"/>
      <c r="BD94" s="839"/>
      <c r="BE94" s="839"/>
      <c r="BF94" s="839"/>
      <c r="BG94" s="840"/>
      <c r="BH94" s="839"/>
      <c r="BI94" s="840"/>
      <c r="BJ94" s="841"/>
    </row>
    <row r="95" spans="1:62" ht="26.25" customHeight="1" x14ac:dyDescent="0.2">
      <c r="A95" s="3140"/>
      <c r="B95" s="3140"/>
      <c r="C95" s="3141"/>
      <c r="D95" s="3291"/>
      <c r="E95" s="3292"/>
      <c r="F95" s="3293"/>
      <c r="G95" s="824">
        <v>84</v>
      </c>
      <c r="H95" s="791" t="s">
        <v>619</v>
      </c>
      <c r="I95" s="809"/>
      <c r="J95" s="809"/>
      <c r="K95" s="4878"/>
      <c r="L95" s="809"/>
      <c r="M95" s="809"/>
      <c r="N95" s="1882"/>
      <c r="O95" s="809"/>
      <c r="P95" s="809"/>
      <c r="Q95" s="809"/>
      <c r="R95" s="809"/>
      <c r="S95" s="809"/>
      <c r="T95" s="809"/>
      <c r="U95" s="809"/>
      <c r="V95" s="809"/>
      <c r="W95" s="809"/>
      <c r="X95" s="792"/>
      <c r="Y95" s="792"/>
      <c r="Z95" s="809"/>
      <c r="AA95" s="809"/>
      <c r="AB95" s="809"/>
      <c r="AC95" s="792"/>
      <c r="AD95" s="809"/>
      <c r="AE95" s="792"/>
      <c r="AF95" s="809"/>
      <c r="AG95" s="792"/>
      <c r="AH95" s="809"/>
      <c r="AI95" s="792"/>
      <c r="AJ95" s="809"/>
      <c r="AK95" s="792"/>
      <c r="AL95" s="809"/>
      <c r="AM95" s="792"/>
      <c r="AN95" s="809"/>
      <c r="AO95" s="792"/>
      <c r="AP95" s="809"/>
      <c r="AQ95" s="792"/>
      <c r="AR95" s="809"/>
      <c r="AS95" s="792"/>
      <c r="AT95" s="809"/>
      <c r="AU95" s="792"/>
      <c r="AV95" s="809"/>
      <c r="AW95" s="792"/>
      <c r="AX95" s="809"/>
      <c r="AY95" s="792"/>
      <c r="AZ95" s="809"/>
      <c r="BA95" s="809"/>
      <c r="BB95" s="809"/>
      <c r="BC95" s="809"/>
      <c r="BD95" s="809"/>
      <c r="BE95" s="809"/>
      <c r="BF95" s="809"/>
      <c r="BG95" s="792"/>
      <c r="BH95" s="809"/>
      <c r="BI95" s="792"/>
      <c r="BJ95" s="793"/>
    </row>
    <row r="96" spans="1:62" ht="57" x14ac:dyDescent="0.2">
      <c r="A96" s="3140"/>
      <c r="B96" s="3140"/>
      <c r="C96" s="3141"/>
      <c r="D96" s="3294"/>
      <c r="E96" s="3295"/>
      <c r="F96" s="3296"/>
      <c r="G96" s="3363"/>
      <c r="H96" s="3364"/>
      <c r="I96" s="3365"/>
      <c r="J96" s="3311">
        <v>247</v>
      </c>
      <c r="K96" s="3185" t="s">
        <v>620</v>
      </c>
      <c r="L96" s="3157" t="s">
        <v>621</v>
      </c>
      <c r="M96" s="3311">
        <v>1</v>
      </c>
      <c r="N96" s="3163">
        <v>1</v>
      </c>
      <c r="O96" s="3157" t="s">
        <v>622</v>
      </c>
      <c r="P96" s="3182">
        <v>42</v>
      </c>
      <c r="Q96" s="3152" t="s">
        <v>623</v>
      </c>
      <c r="R96" s="3278">
        <v>1</v>
      </c>
      <c r="S96" s="3187">
        <v>25000000</v>
      </c>
      <c r="T96" s="3152" t="s">
        <v>624</v>
      </c>
      <c r="U96" s="3152" t="s">
        <v>625</v>
      </c>
      <c r="V96" s="829" t="s">
        <v>626</v>
      </c>
      <c r="W96" s="2270">
        <v>4000000</v>
      </c>
      <c r="X96" s="2271">
        <v>4000000</v>
      </c>
      <c r="Y96" s="2271">
        <v>4000000</v>
      </c>
      <c r="Z96" s="3311">
        <v>20</v>
      </c>
      <c r="AA96" s="3150" t="s">
        <v>130</v>
      </c>
      <c r="AB96" s="3375"/>
      <c r="AC96" s="3372"/>
      <c r="AD96" s="3375"/>
      <c r="AE96" s="3372"/>
      <c r="AF96" s="3375"/>
      <c r="AG96" s="3372"/>
      <c r="AH96" s="3375"/>
      <c r="AI96" s="3372"/>
      <c r="AJ96" s="3162">
        <v>100</v>
      </c>
      <c r="AK96" s="3288">
        <v>100</v>
      </c>
      <c r="AL96" s="3375"/>
      <c r="AM96" s="3372"/>
      <c r="AN96" s="3375"/>
      <c r="AO96" s="3372"/>
      <c r="AP96" s="3375"/>
      <c r="AQ96" s="3372"/>
      <c r="AR96" s="3375"/>
      <c r="AS96" s="3372"/>
      <c r="AT96" s="3375"/>
      <c r="AU96" s="3372"/>
      <c r="AV96" s="3375"/>
      <c r="AW96" s="3372"/>
      <c r="AX96" s="3375"/>
      <c r="AY96" s="3372"/>
      <c r="AZ96" s="3162">
        <v>10</v>
      </c>
      <c r="BA96" s="3378">
        <f>SUM(X96:X98)</f>
        <v>23151587</v>
      </c>
      <c r="BB96" s="3381">
        <f>SUM($Y$96:$Y$98)</f>
        <v>23151587</v>
      </c>
      <c r="BC96" s="3281">
        <f>BB96/BA96</f>
        <v>1</v>
      </c>
      <c r="BD96" s="3162">
        <v>20</v>
      </c>
      <c r="BE96" s="3360" t="s">
        <v>627</v>
      </c>
      <c r="BF96" s="798">
        <v>42597</v>
      </c>
      <c r="BG96" s="799">
        <v>42597</v>
      </c>
      <c r="BH96" s="800">
        <v>42719</v>
      </c>
      <c r="BI96" s="801">
        <v>42724</v>
      </c>
      <c r="BJ96" s="3346" t="s">
        <v>628</v>
      </c>
    </row>
    <row r="97" spans="1:62" ht="45.75" customHeight="1" x14ac:dyDescent="0.2">
      <c r="A97" s="3140"/>
      <c r="B97" s="3140"/>
      <c r="C97" s="3141"/>
      <c r="D97" s="3294"/>
      <c r="E97" s="3295"/>
      <c r="F97" s="3296"/>
      <c r="G97" s="3366"/>
      <c r="H97" s="3367"/>
      <c r="I97" s="3368"/>
      <c r="J97" s="3312"/>
      <c r="K97" s="3300"/>
      <c r="L97" s="3158"/>
      <c r="M97" s="3312"/>
      <c r="N97" s="3277"/>
      <c r="O97" s="3158"/>
      <c r="P97" s="3183"/>
      <c r="Q97" s="3191"/>
      <c r="R97" s="3279"/>
      <c r="S97" s="3188"/>
      <c r="T97" s="3191"/>
      <c r="U97" s="3191"/>
      <c r="V97" s="829" t="s">
        <v>629</v>
      </c>
      <c r="W97" s="2270">
        <v>11000000</v>
      </c>
      <c r="X97" s="2271">
        <v>9151587</v>
      </c>
      <c r="Y97" s="2271">
        <v>9151587</v>
      </c>
      <c r="Z97" s="3312"/>
      <c r="AA97" s="3160"/>
      <c r="AB97" s="3376"/>
      <c r="AC97" s="3373"/>
      <c r="AD97" s="3376"/>
      <c r="AE97" s="3373"/>
      <c r="AF97" s="3376"/>
      <c r="AG97" s="3373"/>
      <c r="AH97" s="3376"/>
      <c r="AI97" s="3373"/>
      <c r="AJ97" s="3287"/>
      <c r="AK97" s="3289"/>
      <c r="AL97" s="3376"/>
      <c r="AM97" s="3373"/>
      <c r="AN97" s="3376"/>
      <c r="AO97" s="3373"/>
      <c r="AP97" s="3376"/>
      <c r="AQ97" s="3373"/>
      <c r="AR97" s="3376"/>
      <c r="AS97" s="3373"/>
      <c r="AT97" s="3376"/>
      <c r="AU97" s="3373"/>
      <c r="AV97" s="3376"/>
      <c r="AW97" s="3373"/>
      <c r="AX97" s="3376"/>
      <c r="AY97" s="3373"/>
      <c r="AZ97" s="3287"/>
      <c r="BA97" s="3379"/>
      <c r="BB97" s="3382"/>
      <c r="BC97" s="3282"/>
      <c r="BD97" s="3287"/>
      <c r="BE97" s="3361"/>
      <c r="BF97" s="798">
        <v>42597</v>
      </c>
      <c r="BG97" s="799">
        <v>42597</v>
      </c>
      <c r="BH97" s="800">
        <v>42719</v>
      </c>
      <c r="BI97" s="801">
        <v>42724</v>
      </c>
      <c r="BJ97" s="3346"/>
    </row>
    <row r="98" spans="1:62" ht="57" x14ac:dyDescent="0.2">
      <c r="A98" s="3140"/>
      <c r="B98" s="3140"/>
      <c r="C98" s="3141"/>
      <c r="D98" s="3297"/>
      <c r="E98" s="3298"/>
      <c r="F98" s="3299"/>
      <c r="G98" s="3369"/>
      <c r="H98" s="3370"/>
      <c r="I98" s="3371"/>
      <c r="J98" s="3313"/>
      <c r="K98" s="3301"/>
      <c r="L98" s="3159"/>
      <c r="M98" s="3313"/>
      <c r="N98" s="3164"/>
      <c r="O98" s="3159"/>
      <c r="P98" s="3214"/>
      <c r="Q98" s="3153"/>
      <c r="R98" s="3280"/>
      <c r="S98" s="3189"/>
      <c r="T98" s="3153"/>
      <c r="U98" s="3153"/>
      <c r="V98" s="2269" t="s">
        <v>630</v>
      </c>
      <c r="W98" s="2270">
        <v>10000000</v>
      </c>
      <c r="X98" s="2271">
        <v>10000000</v>
      </c>
      <c r="Y98" s="2271">
        <v>10000000</v>
      </c>
      <c r="Z98" s="3312"/>
      <c r="AA98" s="3160"/>
      <c r="AB98" s="3377"/>
      <c r="AC98" s="3374"/>
      <c r="AD98" s="3377"/>
      <c r="AE98" s="3374"/>
      <c r="AF98" s="3377"/>
      <c r="AG98" s="3374"/>
      <c r="AH98" s="3377"/>
      <c r="AI98" s="3374"/>
      <c r="AJ98" s="3168"/>
      <c r="AK98" s="3290"/>
      <c r="AL98" s="3377"/>
      <c r="AM98" s="3374"/>
      <c r="AN98" s="3377"/>
      <c r="AO98" s="3374"/>
      <c r="AP98" s="3377"/>
      <c r="AQ98" s="3374"/>
      <c r="AR98" s="3377"/>
      <c r="AS98" s="3374"/>
      <c r="AT98" s="3377"/>
      <c r="AU98" s="3374"/>
      <c r="AV98" s="3377"/>
      <c r="AW98" s="3374"/>
      <c r="AX98" s="3377"/>
      <c r="AY98" s="3374"/>
      <c r="AZ98" s="3168"/>
      <c r="BA98" s="3380"/>
      <c r="BB98" s="3383"/>
      <c r="BC98" s="3283"/>
      <c r="BD98" s="3168"/>
      <c r="BE98" s="3362"/>
      <c r="BF98" s="798">
        <v>42597</v>
      </c>
      <c r="BG98" s="799">
        <v>42597</v>
      </c>
      <c r="BH98" s="800">
        <v>42719</v>
      </c>
      <c r="BI98" s="801">
        <v>42724</v>
      </c>
      <c r="BJ98" s="3346"/>
    </row>
    <row r="99" spans="1:62" ht="25.5" customHeight="1" x14ac:dyDescent="0.2">
      <c r="A99" s="3140"/>
      <c r="B99" s="3140"/>
      <c r="C99" s="3141"/>
      <c r="D99" s="842">
        <v>27</v>
      </c>
      <c r="E99" s="838" t="s">
        <v>157</v>
      </c>
      <c r="F99" s="839"/>
      <c r="G99" s="839"/>
      <c r="H99" s="839"/>
      <c r="I99" s="839"/>
      <c r="J99" s="839"/>
      <c r="K99" s="4890"/>
      <c r="L99" s="839"/>
      <c r="M99" s="839"/>
      <c r="N99" s="1888"/>
      <c r="O99" s="839"/>
      <c r="P99" s="839"/>
      <c r="Q99" s="839"/>
      <c r="R99" s="839"/>
      <c r="S99" s="839"/>
      <c r="T99" s="839"/>
      <c r="U99" s="839"/>
      <c r="V99" s="839"/>
      <c r="W99" s="839"/>
      <c r="X99" s="840"/>
      <c r="Y99" s="840"/>
      <c r="Z99" s="839"/>
      <c r="AA99" s="839"/>
      <c r="AB99" s="839"/>
      <c r="AC99" s="840"/>
      <c r="AD99" s="839"/>
      <c r="AE99" s="840"/>
      <c r="AF99" s="839"/>
      <c r="AG99" s="840"/>
      <c r="AH99" s="839"/>
      <c r="AI99" s="840"/>
      <c r="AJ99" s="839"/>
      <c r="AK99" s="840"/>
      <c r="AL99" s="839"/>
      <c r="AM99" s="840"/>
      <c r="AN99" s="839"/>
      <c r="AO99" s="840"/>
      <c r="AP99" s="839"/>
      <c r="AQ99" s="840"/>
      <c r="AR99" s="839"/>
      <c r="AS99" s="840"/>
      <c r="AT99" s="839"/>
      <c r="AU99" s="840"/>
      <c r="AV99" s="839"/>
      <c r="AW99" s="840"/>
      <c r="AX99" s="839"/>
      <c r="AY99" s="840"/>
      <c r="AZ99" s="839"/>
      <c r="BA99" s="839"/>
      <c r="BB99" s="839"/>
      <c r="BC99" s="839"/>
      <c r="BD99" s="839"/>
      <c r="BE99" s="839"/>
      <c r="BF99" s="839"/>
      <c r="BG99" s="840"/>
      <c r="BH99" s="805"/>
      <c r="BI99" s="806"/>
      <c r="BJ99" s="807"/>
    </row>
    <row r="100" spans="1:62" ht="28.5" customHeight="1" x14ac:dyDescent="0.2">
      <c r="A100" s="3140"/>
      <c r="B100" s="3140"/>
      <c r="C100" s="3141"/>
      <c r="D100" s="3291"/>
      <c r="E100" s="3295"/>
      <c r="F100" s="3296"/>
      <c r="G100" s="824">
        <v>85</v>
      </c>
      <c r="H100" s="754" t="s">
        <v>158</v>
      </c>
      <c r="I100" s="755"/>
      <c r="J100" s="755"/>
      <c r="K100" s="4868"/>
      <c r="L100" s="755"/>
      <c r="M100" s="755"/>
      <c r="N100" s="1884"/>
      <c r="O100" s="755"/>
      <c r="P100" s="755"/>
      <c r="Q100" s="755"/>
      <c r="R100" s="755"/>
      <c r="S100" s="755"/>
      <c r="T100" s="755"/>
      <c r="U100" s="755"/>
      <c r="V100" s="755"/>
      <c r="W100" s="755"/>
      <c r="X100" s="756"/>
      <c r="Y100" s="756"/>
      <c r="Z100" s="755"/>
      <c r="AA100" s="755"/>
      <c r="AB100" s="755"/>
      <c r="AC100" s="756"/>
      <c r="AD100" s="755"/>
      <c r="AE100" s="756"/>
      <c r="AF100" s="755"/>
      <c r="AG100" s="756"/>
      <c r="AH100" s="755"/>
      <c r="AI100" s="756"/>
      <c r="AJ100" s="755"/>
      <c r="AK100" s="756"/>
      <c r="AL100" s="755"/>
      <c r="AM100" s="756"/>
      <c r="AN100" s="755"/>
      <c r="AO100" s="756"/>
      <c r="AP100" s="755"/>
      <c r="AQ100" s="756"/>
      <c r="AR100" s="755"/>
      <c r="AS100" s="756"/>
      <c r="AT100" s="755"/>
      <c r="AU100" s="756"/>
      <c r="AV100" s="755"/>
      <c r="AW100" s="756"/>
      <c r="AX100" s="755"/>
      <c r="AY100" s="756"/>
      <c r="AZ100" s="755"/>
      <c r="BA100" s="755"/>
      <c r="BB100" s="755"/>
      <c r="BC100" s="755"/>
      <c r="BD100" s="755"/>
      <c r="BE100" s="755"/>
      <c r="BF100" s="755"/>
      <c r="BG100" s="756"/>
      <c r="BH100" s="755"/>
      <c r="BI100" s="756"/>
      <c r="BJ100" s="757"/>
    </row>
    <row r="101" spans="1:62" ht="116.25" customHeight="1" x14ac:dyDescent="0.2">
      <c r="A101" s="3140"/>
      <c r="B101" s="3140"/>
      <c r="C101" s="3141"/>
      <c r="D101" s="3294"/>
      <c r="E101" s="3295"/>
      <c r="F101" s="3296"/>
      <c r="G101" s="3291"/>
      <c r="H101" s="3292"/>
      <c r="I101" s="3293"/>
      <c r="J101" s="3162">
        <v>250</v>
      </c>
      <c r="K101" s="4874" t="s">
        <v>631</v>
      </c>
      <c r="L101" s="3384" t="s">
        <v>453</v>
      </c>
      <c r="M101" s="3162">
        <v>3</v>
      </c>
      <c r="N101" s="3156">
        <v>3</v>
      </c>
      <c r="O101" s="3157" t="s">
        <v>632</v>
      </c>
      <c r="P101" s="3182">
        <v>39</v>
      </c>
      <c r="Q101" s="3152" t="s">
        <v>633</v>
      </c>
      <c r="R101" s="3278">
        <f>+(W101+W102+W103)/S101</f>
        <v>0.23083333333333333</v>
      </c>
      <c r="S101" s="3187">
        <v>300000000</v>
      </c>
      <c r="T101" s="3152" t="s">
        <v>634</v>
      </c>
      <c r="U101" s="3152" t="s">
        <v>635</v>
      </c>
      <c r="V101" s="843" t="s">
        <v>636</v>
      </c>
      <c r="W101" s="1275">
        <v>33750000</v>
      </c>
      <c r="X101" s="2271">
        <v>29228333</v>
      </c>
      <c r="Y101" s="2271">
        <v>29228333</v>
      </c>
      <c r="Z101" s="3392">
        <v>20</v>
      </c>
      <c r="AA101" s="3150" t="s">
        <v>637</v>
      </c>
      <c r="AB101" s="3162">
        <v>31154</v>
      </c>
      <c r="AC101" s="3288">
        <v>7664</v>
      </c>
      <c r="AD101" s="3162">
        <v>35075</v>
      </c>
      <c r="AE101" s="3288">
        <v>8628</v>
      </c>
      <c r="AF101" s="3162">
        <v>13344</v>
      </c>
      <c r="AG101" s="3288">
        <v>3283</v>
      </c>
      <c r="AH101" s="3162">
        <v>42175</v>
      </c>
      <c r="AI101" s="3288">
        <v>10375</v>
      </c>
      <c r="AJ101" s="3162">
        <v>114821</v>
      </c>
      <c r="AK101" s="3288">
        <v>28245</v>
      </c>
      <c r="AL101" s="3162">
        <v>39524</v>
      </c>
      <c r="AM101" s="3288">
        <v>9723</v>
      </c>
      <c r="AN101" s="3386"/>
      <c r="AO101" s="3388"/>
      <c r="AP101" s="3386"/>
      <c r="AQ101" s="3388"/>
      <c r="AR101" s="3386"/>
      <c r="AS101" s="3388"/>
      <c r="AT101" s="3386"/>
      <c r="AU101" s="3388"/>
      <c r="AV101" s="3386"/>
      <c r="AW101" s="3388"/>
      <c r="AX101" s="3386"/>
      <c r="AY101" s="3388"/>
      <c r="AZ101" s="3162">
        <v>15</v>
      </c>
      <c r="BA101" s="3320">
        <f>SUM($X$101:$X$109)</f>
        <v>79798333</v>
      </c>
      <c r="BB101" s="3320">
        <f>SUM($Y$101:$Y$109)</f>
        <v>79798333</v>
      </c>
      <c r="BC101" s="3390">
        <f>BB101/BA101</f>
        <v>1</v>
      </c>
      <c r="BD101" s="3162">
        <v>20</v>
      </c>
      <c r="BE101" s="3162" t="s">
        <v>627</v>
      </c>
      <c r="BF101" s="798">
        <v>42628</v>
      </c>
      <c r="BG101" s="799">
        <v>42597</v>
      </c>
      <c r="BH101" s="800">
        <v>42719</v>
      </c>
      <c r="BI101" s="801">
        <v>42724</v>
      </c>
      <c r="BJ101" s="3346" t="s">
        <v>460</v>
      </c>
    </row>
    <row r="102" spans="1:62" ht="90" customHeight="1" x14ac:dyDescent="0.2">
      <c r="A102" s="3140"/>
      <c r="B102" s="3140"/>
      <c r="C102" s="3141"/>
      <c r="D102" s="3294"/>
      <c r="E102" s="3295"/>
      <c r="F102" s="3296"/>
      <c r="G102" s="3294"/>
      <c r="H102" s="3295"/>
      <c r="I102" s="3296"/>
      <c r="J102" s="3287"/>
      <c r="K102" s="4875"/>
      <c r="L102" s="3385"/>
      <c r="M102" s="3287"/>
      <c r="N102" s="3156"/>
      <c r="O102" s="3158"/>
      <c r="P102" s="3183"/>
      <c r="Q102" s="3191"/>
      <c r="R102" s="3279"/>
      <c r="S102" s="3188"/>
      <c r="T102" s="3191"/>
      <c r="U102" s="3191"/>
      <c r="V102" s="843" t="s">
        <v>638</v>
      </c>
      <c r="W102" s="1275">
        <v>18000000</v>
      </c>
      <c r="X102" s="2271">
        <v>18000000</v>
      </c>
      <c r="Y102" s="2271">
        <v>18000000</v>
      </c>
      <c r="Z102" s="3393"/>
      <c r="AA102" s="3160"/>
      <c r="AB102" s="3287"/>
      <c r="AC102" s="3289"/>
      <c r="AD102" s="3287"/>
      <c r="AE102" s="3289"/>
      <c r="AF102" s="3287"/>
      <c r="AG102" s="3289"/>
      <c r="AH102" s="3287"/>
      <c r="AI102" s="3289"/>
      <c r="AJ102" s="3287"/>
      <c r="AK102" s="3289"/>
      <c r="AL102" s="3287"/>
      <c r="AM102" s="3289"/>
      <c r="AN102" s="3387"/>
      <c r="AO102" s="3389"/>
      <c r="AP102" s="3387"/>
      <c r="AQ102" s="3389"/>
      <c r="AR102" s="3387"/>
      <c r="AS102" s="3389"/>
      <c r="AT102" s="3387"/>
      <c r="AU102" s="3389"/>
      <c r="AV102" s="3387"/>
      <c r="AW102" s="3389"/>
      <c r="AX102" s="3387"/>
      <c r="AY102" s="3389"/>
      <c r="AZ102" s="3287"/>
      <c r="BA102" s="3321"/>
      <c r="BB102" s="3321"/>
      <c r="BC102" s="3391"/>
      <c r="BD102" s="3287"/>
      <c r="BE102" s="3287"/>
      <c r="BF102" s="798">
        <v>42597</v>
      </c>
      <c r="BG102" s="799">
        <v>42597</v>
      </c>
      <c r="BH102" s="800">
        <v>42719</v>
      </c>
      <c r="BI102" s="801">
        <v>42724</v>
      </c>
      <c r="BJ102" s="3346"/>
    </row>
    <row r="103" spans="1:62" ht="56.25" customHeight="1" x14ac:dyDescent="0.2">
      <c r="A103" s="3140"/>
      <c r="B103" s="3140"/>
      <c r="C103" s="3141"/>
      <c r="D103" s="3294"/>
      <c r="E103" s="3295"/>
      <c r="F103" s="3296"/>
      <c r="G103" s="3294"/>
      <c r="H103" s="3295"/>
      <c r="I103" s="3296"/>
      <c r="J103" s="3287"/>
      <c r="K103" s="4875"/>
      <c r="L103" s="3385"/>
      <c r="M103" s="3287"/>
      <c r="N103" s="3156"/>
      <c r="O103" s="3158"/>
      <c r="P103" s="3183"/>
      <c r="Q103" s="3191"/>
      <c r="R103" s="3279"/>
      <c r="S103" s="3188"/>
      <c r="T103" s="3191"/>
      <c r="U103" s="3191"/>
      <c r="V103" s="843" t="s">
        <v>639</v>
      </c>
      <c r="W103" s="1275">
        <v>17500000</v>
      </c>
      <c r="X103" s="2271">
        <v>0</v>
      </c>
      <c r="Y103" s="2271">
        <v>0</v>
      </c>
      <c r="Z103" s="3393"/>
      <c r="AA103" s="3160"/>
      <c r="AB103" s="3287"/>
      <c r="AC103" s="3289"/>
      <c r="AD103" s="3287"/>
      <c r="AE103" s="3289"/>
      <c r="AF103" s="3287"/>
      <c r="AG103" s="3289"/>
      <c r="AH103" s="3287"/>
      <c r="AI103" s="3289"/>
      <c r="AJ103" s="3287"/>
      <c r="AK103" s="3289"/>
      <c r="AL103" s="3287"/>
      <c r="AM103" s="3289"/>
      <c r="AN103" s="3387"/>
      <c r="AO103" s="3389"/>
      <c r="AP103" s="3387"/>
      <c r="AQ103" s="3389"/>
      <c r="AR103" s="3387"/>
      <c r="AS103" s="3389"/>
      <c r="AT103" s="3387"/>
      <c r="AU103" s="3389"/>
      <c r="AV103" s="3387"/>
      <c r="AW103" s="3389"/>
      <c r="AX103" s="3387"/>
      <c r="AY103" s="3389"/>
      <c r="AZ103" s="3287"/>
      <c r="BA103" s="3321"/>
      <c r="BB103" s="3321"/>
      <c r="BC103" s="3391"/>
      <c r="BD103" s="3287"/>
      <c r="BE103" s="3287"/>
      <c r="BF103" s="798">
        <v>42628</v>
      </c>
      <c r="BG103" s="799"/>
      <c r="BH103" s="800">
        <v>42719</v>
      </c>
      <c r="BI103" s="801"/>
      <c r="BJ103" s="3346"/>
    </row>
    <row r="104" spans="1:62" ht="99" customHeight="1" x14ac:dyDescent="0.2">
      <c r="A104" s="3140"/>
      <c r="B104" s="3140"/>
      <c r="C104" s="3141"/>
      <c r="D104" s="3294"/>
      <c r="E104" s="3295"/>
      <c r="F104" s="3296"/>
      <c r="G104" s="3294"/>
      <c r="H104" s="3295"/>
      <c r="I104" s="3296"/>
      <c r="J104" s="3162">
        <v>251</v>
      </c>
      <c r="K104" s="4874" t="s">
        <v>640</v>
      </c>
      <c r="L104" s="3161" t="s">
        <v>453</v>
      </c>
      <c r="M104" s="3162">
        <v>1</v>
      </c>
      <c r="N104" s="3156">
        <v>1</v>
      </c>
      <c r="O104" s="3158"/>
      <c r="P104" s="3183"/>
      <c r="Q104" s="3191"/>
      <c r="R104" s="3278">
        <f>+(W104+W105+W106+W107+W108)/S101</f>
        <v>0.68583333333333329</v>
      </c>
      <c r="S104" s="3188"/>
      <c r="T104" s="3191"/>
      <c r="U104" s="3323"/>
      <c r="V104" s="843" t="s">
        <v>641</v>
      </c>
      <c r="W104" s="1275">
        <v>16250000</v>
      </c>
      <c r="X104" s="2271">
        <v>5000000</v>
      </c>
      <c r="Y104" s="2271">
        <v>5000000</v>
      </c>
      <c r="Z104" s="3393"/>
      <c r="AA104" s="3160"/>
      <c r="AB104" s="3287"/>
      <c r="AC104" s="3289"/>
      <c r="AD104" s="3287"/>
      <c r="AE104" s="3289"/>
      <c r="AF104" s="3287"/>
      <c r="AG104" s="3289"/>
      <c r="AH104" s="3287"/>
      <c r="AI104" s="3289"/>
      <c r="AJ104" s="3287"/>
      <c r="AK104" s="3289"/>
      <c r="AL104" s="3287"/>
      <c r="AM104" s="3289"/>
      <c r="AN104" s="3387"/>
      <c r="AO104" s="3389"/>
      <c r="AP104" s="3387"/>
      <c r="AQ104" s="3389"/>
      <c r="AR104" s="3387"/>
      <c r="AS104" s="3389"/>
      <c r="AT104" s="3387"/>
      <c r="AU104" s="3389"/>
      <c r="AV104" s="3387"/>
      <c r="AW104" s="3389"/>
      <c r="AX104" s="3387"/>
      <c r="AY104" s="3389"/>
      <c r="AZ104" s="3287"/>
      <c r="BA104" s="3321"/>
      <c r="BB104" s="3321"/>
      <c r="BC104" s="3391"/>
      <c r="BD104" s="3287"/>
      <c r="BE104" s="3287"/>
      <c r="BF104" s="798">
        <v>42597</v>
      </c>
      <c r="BG104" s="799">
        <v>42597</v>
      </c>
      <c r="BH104" s="800">
        <v>42719</v>
      </c>
      <c r="BI104" s="801">
        <v>42597</v>
      </c>
      <c r="BJ104" s="3346"/>
    </row>
    <row r="105" spans="1:62" ht="97.5" customHeight="1" x14ac:dyDescent="0.2">
      <c r="A105" s="3140"/>
      <c r="B105" s="3140"/>
      <c r="C105" s="3141"/>
      <c r="D105" s="3294"/>
      <c r="E105" s="3295"/>
      <c r="F105" s="3296"/>
      <c r="G105" s="3294"/>
      <c r="H105" s="3295"/>
      <c r="I105" s="3296"/>
      <c r="J105" s="3287"/>
      <c r="K105" s="4875"/>
      <c r="L105" s="3203"/>
      <c r="M105" s="3287"/>
      <c r="N105" s="3156"/>
      <c r="O105" s="3158"/>
      <c r="P105" s="3183"/>
      <c r="Q105" s="3191"/>
      <c r="R105" s="3279"/>
      <c r="S105" s="3188"/>
      <c r="T105" s="3191"/>
      <c r="U105" s="3323"/>
      <c r="V105" s="843" t="s">
        <v>642</v>
      </c>
      <c r="W105" s="1275">
        <v>22500000</v>
      </c>
      <c r="X105" s="2271">
        <v>5000000</v>
      </c>
      <c r="Y105" s="2271">
        <v>5000000</v>
      </c>
      <c r="Z105" s="3393"/>
      <c r="AA105" s="3160"/>
      <c r="AB105" s="3287"/>
      <c r="AC105" s="3289"/>
      <c r="AD105" s="3287"/>
      <c r="AE105" s="3289"/>
      <c r="AF105" s="3287"/>
      <c r="AG105" s="3289"/>
      <c r="AH105" s="3287"/>
      <c r="AI105" s="3289"/>
      <c r="AJ105" s="3287"/>
      <c r="AK105" s="3289"/>
      <c r="AL105" s="3287"/>
      <c r="AM105" s="3289"/>
      <c r="AN105" s="3387"/>
      <c r="AO105" s="3389"/>
      <c r="AP105" s="3387"/>
      <c r="AQ105" s="3389"/>
      <c r="AR105" s="3387"/>
      <c r="AS105" s="3389"/>
      <c r="AT105" s="3387"/>
      <c r="AU105" s="3389"/>
      <c r="AV105" s="3387"/>
      <c r="AW105" s="3389"/>
      <c r="AX105" s="3387"/>
      <c r="AY105" s="3389"/>
      <c r="AZ105" s="3287"/>
      <c r="BA105" s="3321"/>
      <c r="BB105" s="3321"/>
      <c r="BC105" s="3391"/>
      <c r="BD105" s="3287"/>
      <c r="BE105" s="3287"/>
      <c r="BF105" s="798">
        <v>42628</v>
      </c>
      <c r="BG105" s="799">
        <v>42629</v>
      </c>
      <c r="BH105" s="800">
        <v>42719</v>
      </c>
      <c r="BI105" s="801">
        <v>42720</v>
      </c>
      <c r="BJ105" s="3346"/>
    </row>
    <row r="106" spans="1:62" ht="90" customHeight="1" x14ac:dyDescent="0.2">
      <c r="A106" s="3140"/>
      <c r="B106" s="3140"/>
      <c r="C106" s="3141"/>
      <c r="D106" s="3294"/>
      <c r="E106" s="3295"/>
      <c r="F106" s="3296"/>
      <c r="G106" s="3294"/>
      <c r="H106" s="3295"/>
      <c r="I106" s="3296"/>
      <c r="J106" s="3287"/>
      <c r="K106" s="4875"/>
      <c r="L106" s="3203"/>
      <c r="M106" s="3287"/>
      <c r="N106" s="3156"/>
      <c r="O106" s="3158"/>
      <c r="P106" s="3183"/>
      <c r="Q106" s="3191"/>
      <c r="R106" s="3279"/>
      <c r="S106" s="3188"/>
      <c r="T106" s="3191"/>
      <c r="U106" s="3323"/>
      <c r="V106" s="843" t="s">
        <v>643</v>
      </c>
      <c r="W106" s="1275">
        <v>15000000</v>
      </c>
      <c r="X106" s="2271">
        <v>5870000</v>
      </c>
      <c r="Y106" s="2271">
        <v>5870000</v>
      </c>
      <c r="Z106" s="3393"/>
      <c r="AA106" s="3160"/>
      <c r="AB106" s="3287"/>
      <c r="AC106" s="3289"/>
      <c r="AD106" s="3287"/>
      <c r="AE106" s="3289"/>
      <c r="AF106" s="3287"/>
      <c r="AG106" s="3289"/>
      <c r="AH106" s="3287"/>
      <c r="AI106" s="3289"/>
      <c r="AJ106" s="3287"/>
      <c r="AK106" s="3289"/>
      <c r="AL106" s="3287"/>
      <c r="AM106" s="3289"/>
      <c r="AN106" s="3387"/>
      <c r="AO106" s="3389"/>
      <c r="AP106" s="3387"/>
      <c r="AQ106" s="3389"/>
      <c r="AR106" s="3387"/>
      <c r="AS106" s="3389"/>
      <c r="AT106" s="3387"/>
      <c r="AU106" s="3389"/>
      <c r="AV106" s="3387"/>
      <c r="AW106" s="3389"/>
      <c r="AX106" s="3387"/>
      <c r="AY106" s="3389"/>
      <c r="AZ106" s="3287"/>
      <c r="BA106" s="3321"/>
      <c r="BB106" s="3321"/>
      <c r="BC106" s="3391"/>
      <c r="BD106" s="3287"/>
      <c r="BE106" s="3287"/>
      <c r="BF106" s="798">
        <v>42628</v>
      </c>
      <c r="BG106" s="799">
        <v>42629</v>
      </c>
      <c r="BH106" s="800">
        <v>42719</v>
      </c>
      <c r="BI106" s="801">
        <v>42720</v>
      </c>
      <c r="BJ106" s="3346"/>
    </row>
    <row r="107" spans="1:62" ht="52.5" customHeight="1" x14ac:dyDescent="0.2">
      <c r="A107" s="3140"/>
      <c r="B107" s="3140"/>
      <c r="C107" s="3141"/>
      <c r="D107" s="3294"/>
      <c r="E107" s="3295"/>
      <c r="F107" s="3296"/>
      <c r="G107" s="3294"/>
      <c r="H107" s="3295"/>
      <c r="I107" s="3296"/>
      <c r="J107" s="3287"/>
      <c r="K107" s="4875"/>
      <c r="L107" s="3203"/>
      <c r="M107" s="3287"/>
      <c r="N107" s="3156"/>
      <c r="O107" s="3158"/>
      <c r="P107" s="3183"/>
      <c r="Q107" s="3191"/>
      <c r="R107" s="3279"/>
      <c r="S107" s="3188"/>
      <c r="T107" s="3191"/>
      <c r="U107" s="3323"/>
      <c r="V107" s="843" t="s">
        <v>644</v>
      </c>
      <c r="W107" s="1275">
        <f>100000000+35000000</f>
        <v>135000000</v>
      </c>
      <c r="X107" s="2271">
        <v>0</v>
      </c>
      <c r="Y107" s="2271">
        <v>0</v>
      </c>
      <c r="Z107" s="3393"/>
      <c r="AA107" s="3160"/>
      <c r="AB107" s="3287"/>
      <c r="AC107" s="3289"/>
      <c r="AD107" s="3287"/>
      <c r="AE107" s="3289"/>
      <c r="AF107" s="3287"/>
      <c r="AG107" s="3289"/>
      <c r="AH107" s="3287"/>
      <c r="AI107" s="3289"/>
      <c r="AJ107" s="3287"/>
      <c r="AK107" s="3289"/>
      <c r="AL107" s="3287"/>
      <c r="AM107" s="3289"/>
      <c r="AN107" s="3387"/>
      <c r="AO107" s="3389"/>
      <c r="AP107" s="3387"/>
      <c r="AQ107" s="3389"/>
      <c r="AR107" s="3387"/>
      <c r="AS107" s="3389"/>
      <c r="AT107" s="3387"/>
      <c r="AU107" s="3389"/>
      <c r="AV107" s="3387"/>
      <c r="AW107" s="3389"/>
      <c r="AX107" s="3387"/>
      <c r="AY107" s="3389"/>
      <c r="AZ107" s="3287"/>
      <c r="BA107" s="3321"/>
      <c r="BB107" s="3321"/>
      <c r="BC107" s="3391"/>
      <c r="BD107" s="3287"/>
      <c r="BE107" s="3287"/>
      <c r="BF107" s="798">
        <v>42628</v>
      </c>
      <c r="BG107" s="799"/>
      <c r="BH107" s="800">
        <v>42719</v>
      </c>
      <c r="BI107" s="801"/>
      <c r="BJ107" s="3346"/>
    </row>
    <row r="108" spans="1:62" ht="52.5" customHeight="1" x14ac:dyDescent="0.2">
      <c r="A108" s="3140"/>
      <c r="B108" s="3140"/>
      <c r="C108" s="3141"/>
      <c r="D108" s="3294"/>
      <c r="E108" s="3295"/>
      <c r="F108" s="3296"/>
      <c r="G108" s="3294"/>
      <c r="H108" s="3295"/>
      <c r="I108" s="3296"/>
      <c r="J108" s="3168"/>
      <c r="K108" s="4876"/>
      <c r="L108" s="3165"/>
      <c r="M108" s="3168"/>
      <c r="N108" s="3156"/>
      <c r="O108" s="3158"/>
      <c r="P108" s="3183"/>
      <c r="Q108" s="3191"/>
      <c r="R108" s="3280"/>
      <c r="S108" s="3188"/>
      <c r="T108" s="3191"/>
      <c r="U108" s="3323"/>
      <c r="V108" s="843" t="s">
        <v>639</v>
      </c>
      <c r="W108" s="1275">
        <v>17000000</v>
      </c>
      <c r="X108" s="2271">
        <v>0</v>
      </c>
      <c r="Y108" s="2271">
        <v>0</v>
      </c>
      <c r="Z108" s="3393"/>
      <c r="AA108" s="3160"/>
      <c r="AB108" s="3287"/>
      <c r="AC108" s="3289"/>
      <c r="AD108" s="3287"/>
      <c r="AE108" s="3289"/>
      <c r="AF108" s="3287"/>
      <c r="AG108" s="3289"/>
      <c r="AH108" s="3287"/>
      <c r="AI108" s="3289"/>
      <c r="AJ108" s="3287"/>
      <c r="AK108" s="3289"/>
      <c r="AL108" s="3287"/>
      <c r="AM108" s="3289"/>
      <c r="AN108" s="3387"/>
      <c r="AO108" s="3389"/>
      <c r="AP108" s="3387"/>
      <c r="AQ108" s="3389"/>
      <c r="AR108" s="3387"/>
      <c r="AS108" s="3389"/>
      <c r="AT108" s="3387"/>
      <c r="AU108" s="3389"/>
      <c r="AV108" s="3387"/>
      <c r="AW108" s="3389"/>
      <c r="AX108" s="3387"/>
      <c r="AY108" s="3389"/>
      <c r="AZ108" s="3287"/>
      <c r="BA108" s="3321"/>
      <c r="BB108" s="3321"/>
      <c r="BC108" s="3391"/>
      <c r="BD108" s="3287"/>
      <c r="BE108" s="3287"/>
      <c r="BF108" s="798">
        <v>42597</v>
      </c>
      <c r="BG108" s="799"/>
      <c r="BH108" s="800">
        <v>42719</v>
      </c>
      <c r="BI108" s="801"/>
      <c r="BJ108" s="3346"/>
    </row>
    <row r="109" spans="1:62" ht="137.25" customHeight="1" x14ac:dyDescent="0.2">
      <c r="A109" s="3140"/>
      <c r="B109" s="3140"/>
      <c r="C109" s="3141"/>
      <c r="D109" s="3294"/>
      <c r="E109" s="3295"/>
      <c r="F109" s="3296"/>
      <c r="G109" s="3294"/>
      <c r="H109" s="3295"/>
      <c r="I109" s="3296"/>
      <c r="J109" s="2226">
        <v>254</v>
      </c>
      <c r="K109" s="4888" t="s">
        <v>645</v>
      </c>
      <c r="L109" s="844" t="s">
        <v>453</v>
      </c>
      <c r="M109" s="2242">
        <v>1</v>
      </c>
      <c r="N109" s="2245">
        <v>0.5</v>
      </c>
      <c r="O109" s="3158"/>
      <c r="P109" s="3183"/>
      <c r="Q109" s="3191"/>
      <c r="R109" s="2238">
        <f>+W109/S101</f>
        <v>8.3333333333333329E-2</v>
      </c>
      <c r="S109" s="3188"/>
      <c r="T109" s="3191"/>
      <c r="U109" s="3323"/>
      <c r="V109" s="2248" t="s">
        <v>646</v>
      </c>
      <c r="W109" s="1263">
        <v>25000000</v>
      </c>
      <c r="X109" s="1276">
        <v>16700000</v>
      </c>
      <c r="Y109" s="2271">
        <v>16700000</v>
      </c>
      <c r="Z109" s="3393"/>
      <c r="AA109" s="3160"/>
      <c r="AB109" s="3287"/>
      <c r="AC109" s="3289"/>
      <c r="AD109" s="3287"/>
      <c r="AE109" s="3289"/>
      <c r="AF109" s="3287"/>
      <c r="AG109" s="3289"/>
      <c r="AH109" s="3287"/>
      <c r="AI109" s="3289"/>
      <c r="AJ109" s="3287"/>
      <c r="AK109" s="3289"/>
      <c r="AL109" s="3287"/>
      <c r="AM109" s="3289"/>
      <c r="AN109" s="3387"/>
      <c r="AO109" s="3389"/>
      <c r="AP109" s="3387"/>
      <c r="AQ109" s="3389"/>
      <c r="AR109" s="3387"/>
      <c r="AS109" s="3389"/>
      <c r="AT109" s="3387"/>
      <c r="AU109" s="3389"/>
      <c r="AV109" s="3387"/>
      <c r="AW109" s="3389"/>
      <c r="AX109" s="3387"/>
      <c r="AY109" s="3389"/>
      <c r="AZ109" s="3287"/>
      <c r="BA109" s="3321"/>
      <c r="BB109" s="3321"/>
      <c r="BC109" s="3391"/>
      <c r="BD109" s="3287"/>
      <c r="BE109" s="3287"/>
      <c r="BF109" s="2260">
        <v>42597</v>
      </c>
      <c r="BG109" s="2262">
        <v>42597</v>
      </c>
      <c r="BH109" s="2264">
        <v>42719</v>
      </c>
      <c r="BI109" s="2266">
        <v>42724</v>
      </c>
      <c r="BJ109" s="3360"/>
    </row>
    <row r="110" spans="1:62" ht="36" customHeight="1" x14ac:dyDescent="0.2">
      <c r="A110" s="3140"/>
      <c r="B110" s="3140"/>
      <c r="C110" s="3141"/>
      <c r="D110" s="3294"/>
      <c r="E110" s="3295"/>
      <c r="F110" s="3296"/>
      <c r="G110" s="824">
        <v>86</v>
      </c>
      <c r="H110" s="791" t="s">
        <v>647</v>
      </c>
      <c r="I110" s="809"/>
      <c r="J110" s="809"/>
      <c r="K110" s="4878"/>
      <c r="L110" s="809"/>
      <c r="M110" s="809"/>
      <c r="N110" s="1882"/>
      <c r="O110" s="809"/>
      <c r="P110" s="809"/>
      <c r="Q110" s="809"/>
      <c r="R110" s="809"/>
      <c r="S110" s="809"/>
      <c r="T110" s="809"/>
      <c r="U110" s="809"/>
      <c r="V110" s="809"/>
      <c r="W110" s="809"/>
      <c r="X110" s="792"/>
      <c r="Y110" s="756"/>
      <c r="Z110" s="791"/>
      <c r="AA110" s="809"/>
      <c r="AB110" s="809"/>
      <c r="AC110" s="792"/>
      <c r="AD110" s="809"/>
      <c r="AE110" s="792"/>
      <c r="AF110" s="809"/>
      <c r="AG110" s="792"/>
      <c r="AH110" s="809"/>
      <c r="AI110" s="792"/>
      <c r="AJ110" s="809"/>
      <c r="AK110" s="792"/>
      <c r="AL110" s="809"/>
      <c r="AM110" s="792"/>
      <c r="AN110" s="809"/>
      <c r="AO110" s="792"/>
      <c r="AP110" s="809"/>
      <c r="AQ110" s="792"/>
      <c r="AR110" s="809"/>
      <c r="AS110" s="792"/>
      <c r="AT110" s="809"/>
      <c r="AU110" s="792"/>
      <c r="AV110" s="809"/>
      <c r="AW110" s="792"/>
      <c r="AX110" s="809"/>
      <c r="AY110" s="792"/>
      <c r="AZ110" s="809"/>
      <c r="BA110" s="809"/>
      <c r="BB110" s="809"/>
      <c r="BC110" s="809"/>
      <c r="BD110" s="809"/>
      <c r="BE110" s="809"/>
      <c r="BF110" s="809"/>
      <c r="BG110" s="792"/>
      <c r="BH110" s="809"/>
      <c r="BI110" s="792"/>
      <c r="BJ110" s="793"/>
    </row>
    <row r="111" spans="1:62" ht="51" customHeight="1" x14ac:dyDescent="0.2">
      <c r="A111" s="3140"/>
      <c r="B111" s="3140"/>
      <c r="C111" s="3141"/>
      <c r="D111" s="3294"/>
      <c r="E111" s="3295"/>
      <c r="F111" s="3296"/>
      <c r="G111" s="3291"/>
      <c r="H111" s="3292"/>
      <c r="I111" s="3293"/>
      <c r="J111" s="3162">
        <v>255</v>
      </c>
      <c r="K111" s="3185" t="s">
        <v>648</v>
      </c>
      <c r="L111" s="3157" t="s">
        <v>649</v>
      </c>
      <c r="M111" s="3311">
        <v>12</v>
      </c>
      <c r="N111" s="3163">
        <v>11</v>
      </c>
      <c r="O111" s="3157" t="s">
        <v>650</v>
      </c>
      <c r="P111" s="3182">
        <v>40</v>
      </c>
      <c r="Q111" s="3185" t="s">
        <v>651</v>
      </c>
      <c r="R111" s="3278">
        <v>1</v>
      </c>
      <c r="S111" s="3187">
        <v>76685000</v>
      </c>
      <c r="T111" s="3152" t="s">
        <v>652</v>
      </c>
      <c r="U111" s="3152" t="s">
        <v>653</v>
      </c>
      <c r="V111" s="829" t="s">
        <v>654</v>
      </c>
      <c r="W111" s="2270">
        <v>15000000</v>
      </c>
      <c r="X111" s="2271">
        <v>15000000</v>
      </c>
      <c r="Y111" s="2271">
        <v>15000000</v>
      </c>
      <c r="Z111" s="3257">
        <v>20</v>
      </c>
      <c r="AA111" s="3150" t="s">
        <v>130</v>
      </c>
      <c r="AB111" s="3375"/>
      <c r="AC111" s="3372"/>
      <c r="AD111" s="3375"/>
      <c r="AE111" s="3372"/>
      <c r="AF111" s="3375"/>
      <c r="AG111" s="3372"/>
      <c r="AH111" s="3375"/>
      <c r="AI111" s="3372"/>
      <c r="AJ111" s="3162">
        <v>4200</v>
      </c>
      <c r="AK111" s="3288">
        <v>2788</v>
      </c>
      <c r="AL111" s="3375"/>
      <c r="AM111" s="3372"/>
      <c r="AN111" s="3375"/>
      <c r="AO111" s="3372"/>
      <c r="AP111" s="3375"/>
      <c r="AQ111" s="3372"/>
      <c r="AR111" s="3375"/>
      <c r="AS111" s="3372"/>
      <c r="AT111" s="3375"/>
      <c r="AU111" s="3372"/>
      <c r="AV111" s="3375"/>
      <c r="AW111" s="3372"/>
      <c r="AX111" s="3375"/>
      <c r="AY111" s="3372"/>
      <c r="AZ111" s="3162">
        <v>14</v>
      </c>
      <c r="BA111" s="3378">
        <f>SUM($X$111:$X$118)</f>
        <v>53096500</v>
      </c>
      <c r="BB111" s="3162">
        <f>SUM($Y$111:$Y$118)</f>
        <v>53096500</v>
      </c>
      <c r="BC111" s="3281">
        <f>BB111/BA111</f>
        <v>1</v>
      </c>
      <c r="BD111" s="3162">
        <v>20</v>
      </c>
      <c r="BE111" s="3397" t="s">
        <v>627</v>
      </c>
      <c r="BF111" s="798">
        <v>42628</v>
      </c>
      <c r="BG111" s="799">
        <v>42597</v>
      </c>
      <c r="BH111" s="800">
        <v>42719</v>
      </c>
      <c r="BI111" s="801">
        <v>42724</v>
      </c>
      <c r="BJ111" s="3346" t="s">
        <v>460</v>
      </c>
    </row>
    <row r="112" spans="1:62" ht="57" x14ac:dyDescent="0.2">
      <c r="A112" s="3140"/>
      <c r="B112" s="3140"/>
      <c r="C112" s="3141"/>
      <c r="D112" s="3294"/>
      <c r="E112" s="3295"/>
      <c r="F112" s="3296"/>
      <c r="G112" s="3294"/>
      <c r="H112" s="3295"/>
      <c r="I112" s="3296"/>
      <c r="J112" s="3287"/>
      <c r="K112" s="3300"/>
      <c r="L112" s="3158"/>
      <c r="M112" s="3312"/>
      <c r="N112" s="3277"/>
      <c r="O112" s="3158"/>
      <c r="P112" s="3183"/>
      <c r="Q112" s="3300"/>
      <c r="R112" s="3279"/>
      <c r="S112" s="3188"/>
      <c r="T112" s="3191"/>
      <c r="U112" s="3191"/>
      <c r="V112" s="829" t="s">
        <v>655</v>
      </c>
      <c r="W112" s="2270">
        <v>15000000</v>
      </c>
      <c r="X112" s="2271">
        <v>11411500</v>
      </c>
      <c r="Y112" s="2271">
        <v>11411500</v>
      </c>
      <c r="Z112" s="3258"/>
      <c r="AA112" s="3160"/>
      <c r="AB112" s="3376"/>
      <c r="AC112" s="3373"/>
      <c r="AD112" s="3376"/>
      <c r="AE112" s="3373"/>
      <c r="AF112" s="3376"/>
      <c r="AG112" s="3373"/>
      <c r="AH112" s="3376"/>
      <c r="AI112" s="3373"/>
      <c r="AJ112" s="3287"/>
      <c r="AK112" s="3289"/>
      <c r="AL112" s="3376"/>
      <c r="AM112" s="3373"/>
      <c r="AN112" s="3376"/>
      <c r="AO112" s="3373"/>
      <c r="AP112" s="3376"/>
      <c r="AQ112" s="3373"/>
      <c r="AR112" s="3376"/>
      <c r="AS112" s="3373"/>
      <c r="AT112" s="3376"/>
      <c r="AU112" s="3373"/>
      <c r="AV112" s="3376"/>
      <c r="AW112" s="3373"/>
      <c r="AX112" s="3376"/>
      <c r="AY112" s="3373"/>
      <c r="AZ112" s="3287"/>
      <c r="BA112" s="3379"/>
      <c r="BB112" s="3287"/>
      <c r="BC112" s="3282"/>
      <c r="BD112" s="3287"/>
      <c r="BE112" s="3398"/>
      <c r="BF112" s="798">
        <v>42628</v>
      </c>
      <c r="BG112" s="799">
        <v>42629</v>
      </c>
      <c r="BH112" s="801">
        <v>42719</v>
      </c>
      <c r="BI112" s="801">
        <v>42720</v>
      </c>
      <c r="BJ112" s="3346"/>
    </row>
    <row r="113" spans="1:64" ht="38.25" customHeight="1" x14ac:dyDescent="0.2">
      <c r="A113" s="3140"/>
      <c r="B113" s="3140"/>
      <c r="C113" s="3141"/>
      <c r="D113" s="3294"/>
      <c r="E113" s="3295"/>
      <c r="F113" s="3296"/>
      <c r="G113" s="3294"/>
      <c r="H113" s="3295"/>
      <c r="I113" s="3296"/>
      <c r="J113" s="3287"/>
      <c r="K113" s="3300"/>
      <c r="L113" s="3158"/>
      <c r="M113" s="3312"/>
      <c r="N113" s="3277"/>
      <c r="O113" s="3158"/>
      <c r="P113" s="3183"/>
      <c r="Q113" s="3300"/>
      <c r="R113" s="3279"/>
      <c r="S113" s="3188"/>
      <c r="T113" s="3191"/>
      <c r="U113" s="3191"/>
      <c r="V113" s="829" t="s">
        <v>656</v>
      </c>
      <c r="W113" s="2270">
        <v>1000000</v>
      </c>
      <c r="X113" s="2271">
        <v>1000000</v>
      </c>
      <c r="Y113" s="2271">
        <v>1000000</v>
      </c>
      <c r="Z113" s="3258"/>
      <c r="AA113" s="3160"/>
      <c r="AB113" s="3376"/>
      <c r="AC113" s="3373"/>
      <c r="AD113" s="3376"/>
      <c r="AE113" s="3373"/>
      <c r="AF113" s="3376"/>
      <c r="AG113" s="3373"/>
      <c r="AH113" s="3376"/>
      <c r="AI113" s="3373"/>
      <c r="AJ113" s="3287"/>
      <c r="AK113" s="3289"/>
      <c r="AL113" s="3376"/>
      <c r="AM113" s="3373"/>
      <c r="AN113" s="3376"/>
      <c r="AO113" s="3373"/>
      <c r="AP113" s="3376"/>
      <c r="AQ113" s="3373"/>
      <c r="AR113" s="3376"/>
      <c r="AS113" s="3373"/>
      <c r="AT113" s="3376"/>
      <c r="AU113" s="3373"/>
      <c r="AV113" s="3376"/>
      <c r="AW113" s="3373"/>
      <c r="AX113" s="3376"/>
      <c r="AY113" s="3373"/>
      <c r="AZ113" s="3287"/>
      <c r="BA113" s="3379"/>
      <c r="BB113" s="3287"/>
      <c r="BC113" s="3282"/>
      <c r="BD113" s="3287"/>
      <c r="BE113" s="3398"/>
      <c r="BF113" s="798">
        <v>42653</v>
      </c>
      <c r="BG113" s="799">
        <v>42654</v>
      </c>
      <c r="BH113" s="801">
        <v>42699</v>
      </c>
      <c r="BI113" s="801">
        <v>42700</v>
      </c>
      <c r="BJ113" s="3346"/>
    </row>
    <row r="114" spans="1:64" ht="66.75" customHeight="1" x14ac:dyDescent="0.2">
      <c r="A114" s="3140"/>
      <c r="B114" s="3140"/>
      <c r="C114" s="3141"/>
      <c r="D114" s="3294"/>
      <c r="E114" s="3295"/>
      <c r="F114" s="3296"/>
      <c r="G114" s="3294"/>
      <c r="H114" s="3295"/>
      <c r="I114" s="3296"/>
      <c r="J114" s="3287"/>
      <c r="K114" s="3300"/>
      <c r="L114" s="3158"/>
      <c r="M114" s="3312"/>
      <c r="N114" s="3277"/>
      <c r="O114" s="3158"/>
      <c r="P114" s="3183"/>
      <c r="Q114" s="3300"/>
      <c r="R114" s="3279"/>
      <c r="S114" s="3188"/>
      <c r="T114" s="3191"/>
      <c r="U114" s="3191"/>
      <c r="V114" s="829" t="s">
        <v>657</v>
      </c>
      <c r="W114" s="2270">
        <v>5000000</v>
      </c>
      <c r="X114" s="2271">
        <v>5000000</v>
      </c>
      <c r="Y114" s="2271">
        <v>5000000</v>
      </c>
      <c r="Z114" s="3258"/>
      <c r="AA114" s="3160"/>
      <c r="AB114" s="3376"/>
      <c r="AC114" s="3373"/>
      <c r="AD114" s="3376"/>
      <c r="AE114" s="3373"/>
      <c r="AF114" s="3376"/>
      <c r="AG114" s="3373"/>
      <c r="AH114" s="3376"/>
      <c r="AI114" s="3373"/>
      <c r="AJ114" s="3287"/>
      <c r="AK114" s="3289"/>
      <c r="AL114" s="3376"/>
      <c r="AM114" s="3373"/>
      <c r="AN114" s="3376"/>
      <c r="AO114" s="3373"/>
      <c r="AP114" s="3376"/>
      <c r="AQ114" s="3373"/>
      <c r="AR114" s="3376"/>
      <c r="AS114" s="3373"/>
      <c r="AT114" s="3376"/>
      <c r="AU114" s="3373"/>
      <c r="AV114" s="3376"/>
      <c r="AW114" s="3373"/>
      <c r="AX114" s="3376"/>
      <c r="AY114" s="3373"/>
      <c r="AZ114" s="3287"/>
      <c r="BA114" s="3379"/>
      <c r="BB114" s="3287"/>
      <c r="BC114" s="3282"/>
      <c r="BD114" s="3287"/>
      <c r="BE114" s="3398"/>
      <c r="BF114" s="798">
        <v>42628</v>
      </c>
      <c r="BG114" s="799">
        <v>42597</v>
      </c>
      <c r="BH114" s="800">
        <v>42719</v>
      </c>
      <c r="BI114" s="801">
        <v>42724</v>
      </c>
      <c r="BJ114" s="3346"/>
    </row>
    <row r="115" spans="1:64" ht="109.5" customHeight="1" x14ac:dyDescent="0.2">
      <c r="A115" s="3140"/>
      <c r="B115" s="3140"/>
      <c r="C115" s="3141"/>
      <c r="D115" s="3294"/>
      <c r="E115" s="3295"/>
      <c r="F115" s="3296"/>
      <c r="G115" s="3294"/>
      <c r="H115" s="3295"/>
      <c r="I115" s="3296"/>
      <c r="J115" s="3287"/>
      <c r="K115" s="3300"/>
      <c r="L115" s="3158"/>
      <c r="M115" s="3312"/>
      <c r="N115" s="3277"/>
      <c r="O115" s="3158"/>
      <c r="P115" s="3183"/>
      <c r="Q115" s="3300"/>
      <c r="R115" s="3279"/>
      <c r="S115" s="3188"/>
      <c r="T115" s="3191"/>
      <c r="U115" s="3191"/>
      <c r="V115" s="829" t="s">
        <v>658</v>
      </c>
      <c r="W115" s="2270">
        <v>20000000</v>
      </c>
      <c r="X115" s="2271">
        <v>0</v>
      </c>
      <c r="Y115" s="2271">
        <v>0</v>
      </c>
      <c r="Z115" s="3258"/>
      <c r="AA115" s="3160"/>
      <c r="AB115" s="3376"/>
      <c r="AC115" s="3373"/>
      <c r="AD115" s="3376"/>
      <c r="AE115" s="3373"/>
      <c r="AF115" s="3376"/>
      <c r="AG115" s="3373"/>
      <c r="AH115" s="3376"/>
      <c r="AI115" s="3373"/>
      <c r="AJ115" s="3287"/>
      <c r="AK115" s="3289"/>
      <c r="AL115" s="3376"/>
      <c r="AM115" s="3373"/>
      <c r="AN115" s="3376"/>
      <c r="AO115" s="3373"/>
      <c r="AP115" s="3376"/>
      <c r="AQ115" s="3373"/>
      <c r="AR115" s="3376"/>
      <c r="AS115" s="3373"/>
      <c r="AT115" s="3376"/>
      <c r="AU115" s="3373"/>
      <c r="AV115" s="3376"/>
      <c r="AW115" s="3373"/>
      <c r="AX115" s="3376"/>
      <c r="AY115" s="3373"/>
      <c r="AZ115" s="3287"/>
      <c r="BA115" s="3379"/>
      <c r="BB115" s="3287"/>
      <c r="BC115" s="3282"/>
      <c r="BD115" s="3287"/>
      <c r="BE115" s="3398"/>
      <c r="BF115" s="798">
        <v>42628</v>
      </c>
      <c r="BG115" s="799"/>
      <c r="BH115" s="800">
        <v>42719</v>
      </c>
      <c r="BI115" s="801"/>
      <c r="BJ115" s="3346"/>
    </row>
    <row r="116" spans="1:64" ht="60" customHeight="1" x14ac:dyDescent="0.2">
      <c r="A116" s="3140"/>
      <c r="B116" s="3140"/>
      <c r="C116" s="3141"/>
      <c r="D116" s="3294"/>
      <c r="E116" s="3295"/>
      <c r="F116" s="3296"/>
      <c r="G116" s="3294"/>
      <c r="H116" s="3295"/>
      <c r="I116" s="3296"/>
      <c r="J116" s="3287"/>
      <c r="K116" s="3300"/>
      <c r="L116" s="3158"/>
      <c r="M116" s="3312"/>
      <c r="N116" s="3277"/>
      <c r="O116" s="3158"/>
      <c r="P116" s="3183"/>
      <c r="Q116" s="3300"/>
      <c r="R116" s="3279"/>
      <c r="S116" s="3188"/>
      <c r="T116" s="3191"/>
      <c r="U116" s="3191"/>
      <c r="V116" s="2269" t="s">
        <v>659</v>
      </c>
      <c r="W116" s="2270">
        <v>4000000</v>
      </c>
      <c r="X116" s="2271">
        <v>4000000</v>
      </c>
      <c r="Y116" s="2271">
        <v>4000000</v>
      </c>
      <c r="Z116" s="3258"/>
      <c r="AA116" s="3160"/>
      <c r="AB116" s="3376"/>
      <c r="AC116" s="3373"/>
      <c r="AD116" s="3376"/>
      <c r="AE116" s="3373"/>
      <c r="AF116" s="3376"/>
      <c r="AG116" s="3373"/>
      <c r="AH116" s="3376"/>
      <c r="AI116" s="3373"/>
      <c r="AJ116" s="3287"/>
      <c r="AK116" s="3289"/>
      <c r="AL116" s="3376"/>
      <c r="AM116" s="3373"/>
      <c r="AN116" s="3376"/>
      <c r="AO116" s="3373"/>
      <c r="AP116" s="3376"/>
      <c r="AQ116" s="3373"/>
      <c r="AR116" s="3376"/>
      <c r="AS116" s="3373"/>
      <c r="AT116" s="3376"/>
      <c r="AU116" s="3373"/>
      <c r="AV116" s="3376"/>
      <c r="AW116" s="3373"/>
      <c r="AX116" s="3376"/>
      <c r="AY116" s="3373"/>
      <c r="AZ116" s="3287"/>
      <c r="BA116" s="3379"/>
      <c r="BB116" s="3287"/>
      <c r="BC116" s="3282"/>
      <c r="BD116" s="3287"/>
      <c r="BE116" s="3398"/>
      <c r="BF116" s="798">
        <v>42597</v>
      </c>
      <c r="BG116" s="799">
        <v>42597</v>
      </c>
      <c r="BH116" s="800">
        <v>42719</v>
      </c>
      <c r="BI116" s="801">
        <v>42724</v>
      </c>
      <c r="BJ116" s="3346"/>
    </row>
    <row r="117" spans="1:64" ht="71.25" customHeight="1" x14ac:dyDescent="0.2">
      <c r="A117" s="3140"/>
      <c r="B117" s="3140"/>
      <c r="C117" s="3141"/>
      <c r="D117" s="3294"/>
      <c r="E117" s="3295"/>
      <c r="F117" s="3296"/>
      <c r="G117" s="3294"/>
      <c r="H117" s="3295"/>
      <c r="I117" s="3296"/>
      <c r="J117" s="3287"/>
      <c r="K117" s="3300"/>
      <c r="L117" s="3158"/>
      <c r="M117" s="3312"/>
      <c r="N117" s="3277"/>
      <c r="O117" s="3158"/>
      <c r="P117" s="3183"/>
      <c r="Q117" s="3300"/>
      <c r="R117" s="3279"/>
      <c r="S117" s="3188"/>
      <c r="T117" s="3191"/>
      <c r="U117" s="3191"/>
      <c r="V117" s="2269" t="s">
        <v>660</v>
      </c>
      <c r="W117" s="2270">
        <v>5885000</v>
      </c>
      <c r="X117" s="2271">
        <v>5885000</v>
      </c>
      <c r="Y117" s="2271">
        <v>5885000</v>
      </c>
      <c r="Z117" s="3258"/>
      <c r="AA117" s="3160"/>
      <c r="AB117" s="3376"/>
      <c r="AC117" s="3373"/>
      <c r="AD117" s="3376"/>
      <c r="AE117" s="3373"/>
      <c r="AF117" s="3376"/>
      <c r="AG117" s="3373"/>
      <c r="AH117" s="3376"/>
      <c r="AI117" s="3373"/>
      <c r="AJ117" s="3287"/>
      <c r="AK117" s="3289"/>
      <c r="AL117" s="3376"/>
      <c r="AM117" s="3373"/>
      <c r="AN117" s="3376"/>
      <c r="AO117" s="3373"/>
      <c r="AP117" s="3376"/>
      <c r="AQ117" s="3373"/>
      <c r="AR117" s="3376"/>
      <c r="AS117" s="3373"/>
      <c r="AT117" s="3376"/>
      <c r="AU117" s="3373"/>
      <c r="AV117" s="3376"/>
      <c r="AW117" s="3373"/>
      <c r="AX117" s="3376"/>
      <c r="AY117" s="3373"/>
      <c r="AZ117" s="3287"/>
      <c r="BA117" s="3379"/>
      <c r="BB117" s="3287"/>
      <c r="BC117" s="3282"/>
      <c r="BD117" s="3287"/>
      <c r="BE117" s="3398"/>
      <c r="BF117" s="798">
        <v>42628</v>
      </c>
      <c r="BG117" s="799">
        <v>42629</v>
      </c>
      <c r="BH117" s="800">
        <v>42719</v>
      </c>
      <c r="BI117" s="801">
        <v>42720</v>
      </c>
      <c r="BJ117" s="3346"/>
    </row>
    <row r="118" spans="1:64" ht="71.25" x14ac:dyDescent="0.2">
      <c r="A118" s="3140"/>
      <c r="B118" s="3140"/>
      <c r="C118" s="3141"/>
      <c r="D118" s="3294"/>
      <c r="E118" s="3295"/>
      <c r="F118" s="3296"/>
      <c r="G118" s="3294"/>
      <c r="H118" s="3295"/>
      <c r="I118" s="3296"/>
      <c r="J118" s="3168"/>
      <c r="K118" s="3300"/>
      <c r="L118" s="3159"/>
      <c r="M118" s="3313"/>
      <c r="N118" s="3164"/>
      <c r="O118" s="3159"/>
      <c r="P118" s="3214"/>
      <c r="Q118" s="3301"/>
      <c r="R118" s="3280"/>
      <c r="S118" s="3189"/>
      <c r="T118" s="3153"/>
      <c r="U118" s="3153"/>
      <c r="V118" s="2269" t="s">
        <v>661</v>
      </c>
      <c r="W118" s="2270">
        <v>10800000</v>
      </c>
      <c r="X118" s="2271">
        <v>10800000</v>
      </c>
      <c r="Y118" s="2271">
        <v>10800000</v>
      </c>
      <c r="Z118" s="3259"/>
      <c r="AA118" s="3151"/>
      <c r="AB118" s="3377"/>
      <c r="AC118" s="3374"/>
      <c r="AD118" s="3377"/>
      <c r="AE118" s="3374"/>
      <c r="AF118" s="3377"/>
      <c r="AG118" s="3374"/>
      <c r="AH118" s="3377"/>
      <c r="AI118" s="3374"/>
      <c r="AJ118" s="3168"/>
      <c r="AK118" s="3290"/>
      <c r="AL118" s="3377"/>
      <c r="AM118" s="3374"/>
      <c r="AN118" s="3377"/>
      <c r="AO118" s="3374"/>
      <c r="AP118" s="3377"/>
      <c r="AQ118" s="3374"/>
      <c r="AR118" s="3377"/>
      <c r="AS118" s="3374"/>
      <c r="AT118" s="3377"/>
      <c r="AU118" s="3374"/>
      <c r="AV118" s="3377"/>
      <c r="AW118" s="3374"/>
      <c r="AX118" s="3377"/>
      <c r="AY118" s="3374"/>
      <c r="AZ118" s="3168"/>
      <c r="BA118" s="3380"/>
      <c r="BB118" s="3168"/>
      <c r="BC118" s="3283"/>
      <c r="BD118" s="3168"/>
      <c r="BE118" s="3399"/>
      <c r="BF118" s="798">
        <v>42628</v>
      </c>
      <c r="BG118" s="799">
        <v>42629</v>
      </c>
      <c r="BH118" s="800">
        <v>42719</v>
      </c>
      <c r="BI118" s="801">
        <v>42720</v>
      </c>
      <c r="BJ118" s="3346"/>
    </row>
    <row r="119" spans="1:64" ht="112.5" customHeight="1" thickBot="1" x14ac:dyDescent="0.25">
      <c r="A119" s="3140"/>
      <c r="B119" s="3140"/>
      <c r="C119" s="3141"/>
      <c r="D119" s="3294"/>
      <c r="E119" s="3295"/>
      <c r="F119" s="3296"/>
      <c r="G119" s="3294"/>
      <c r="H119" s="3295"/>
      <c r="I119" s="3296"/>
      <c r="J119" s="2252">
        <v>255</v>
      </c>
      <c r="K119" s="2572" t="s">
        <v>662</v>
      </c>
      <c r="L119" s="2253" t="s">
        <v>522</v>
      </c>
      <c r="M119" s="2249">
        <v>12</v>
      </c>
      <c r="N119" s="2245">
        <v>1</v>
      </c>
      <c r="O119" s="2256" t="s">
        <v>663</v>
      </c>
      <c r="P119" s="2236">
        <v>41</v>
      </c>
      <c r="Q119" s="2248" t="s">
        <v>664</v>
      </c>
      <c r="R119" s="2238">
        <v>1</v>
      </c>
      <c r="S119" s="2232">
        <v>3315000</v>
      </c>
      <c r="T119" s="794" t="s">
        <v>665</v>
      </c>
      <c r="U119" s="794" t="s">
        <v>666</v>
      </c>
      <c r="V119" s="820" t="s">
        <v>667</v>
      </c>
      <c r="W119" s="1263">
        <v>3315000</v>
      </c>
      <c r="X119" s="1276">
        <v>3315000</v>
      </c>
      <c r="Y119" s="1276">
        <v>3315000</v>
      </c>
      <c r="Z119" s="1568">
        <v>20</v>
      </c>
      <c r="AA119" s="2242" t="s">
        <v>668</v>
      </c>
      <c r="AB119" s="845"/>
      <c r="AC119" s="846"/>
      <c r="AD119" s="845"/>
      <c r="AE119" s="846"/>
      <c r="AF119" s="845"/>
      <c r="AG119" s="846"/>
      <c r="AH119" s="845"/>
      <c r="AI119" s="846"/>
      <c r="AJ119" s="2251">
        <v>350</v>
      </c>
      <c r="AK119" s="2254">
        <v>350</v>
      </c>
      <c r="AL119" s="845"/>
      <c r="AM119" s="846"/>
      <c r="AN119" s="845"/>
      <c r="AO119" s="846"/>
      <c r="AP119" s="845"/>
      <c r="AQ119" s="846"/>
      <c r="AR119" s="845"/>
      <c r="AS119" s="846"/>
      <c r="AT119" s="847"/>
      <c r="AU119" s="848"/>
      <c r="AV119" s="847"/>
      <c r="AW119" s="848"/>
      <c r="AX119" s="847"/>
      <c r="AY119" s="848"/>
      <c r="AZ119" s="2251">
        <v>1</v>
      </c>
      <c r="BA119" s="2240">
        <v>3315000</v>
      </c>
      <c r="BB119" s="2240">
        <v>3315000</v>
      </c>
      <c r="BC119" s="2228">
        <v>1</v>
      </c>
      <c r="BD119" s="2251">
        <v>20</v>
      </c>
      <c r="BE119" s="845" t="s">
        <v>627</v>
      </c>
      <c r="BF119" s="2260">
        <v>42459</v>
      </c>
      <c r="BG119" s="2262">
        <v>42561</v>
      </c>
      <c r="BH119" s="2264">
        <v>42485</v>
      </c>
      <c r="BI119" s="2266">
        <v>42581</v>
      </c>
      <c r="BJ119" s="3360"/>
    </row>
    <row r="120" spans="1:64" s="863" customFormat="1" ht="31.5" customHeight="1" thickBot="1" x14ac:dyDescent="0.3">
      <c r="A120" s="3394" t="s">
        <v>119</v>
      </c>
      <c r="B120" s="3395"/>
      <c r="C120" s="3395"/>
      <c r="D120" s="3395"/>
      <c r="E120" s="3395"/>
      <c r="F120" s="3395"/>
      <c r="G120" s="3395"/>
      <c r="H120" s="3395"/>
      <c r="I120" s="3395"/>
      <c r="J120" s="3395"/>
      <c r="K120" s="3395"/>
      <c r="L120" s="3395"/>
      <c r="M120" s="3395"/>
      <c r="N120" s="3395"/>
      <c r="O120" s="3395"/>
      <c r="P120" s="3395"/>
      <c r="Q120" s="3395"/>
      <c r="R120" s="3396"/>
      <c r="S120" s="849">
        <f>SUM(S10:S119)</f>
        <v>7721924915</v>
      </c>
      <c r="T120" s="850"/>
      <c r="U120" s="851"/>
      <c r="V120" s="852"/>
      <c r="W120" s="853">
        <f>SUM(W10:W119)</f>
        <v>7721924914.8500004</v>
      </c>
      <c r="X120" s="1255">
        <f>SUM(X10:X119)</f>
        <v>1409368015</v>
      </c>
      <c r="Y120" s="1255">
        <f>SUM(Y10:Y119)</f>
        <v>1335245363</v>
      </c>
      <c r="Z120" s="853"/>
      <c r="AA120" s="854"/>
      <c r="AB120" s="855"/>
      <c r="AC120" s="856"/>
      <c r="AD120" s="855"/>
      <c r="AE120" s="856"/>
      <c r="AF120" s="855"/>
      <c r="AG120" s="856"/>
      <c r="AH120" s="855"/>
      <c r="AI120" s="856"/>
      <c r="AJ120" s="855"/>
      <c r="AK120" s="856"/>
      <c r="AL120" s="855"/>
      <c r="AM120" s="856"/>
      <c r="AN120" s="855"/>
      <c r="AO120" s="856"/>
      <c r="AP120" s="855"/>
      <c r="AQ120" s="856"/>
      <c r="AR120" s="855"/>
      <c r="AS120" s="856"/>
      <c r="AT120" s="855"/>
      <c r="AU120" s="856"/>
      <c r="AV120" s="855"/>
      <c r="AW120" s="856"/>
      <c r="AX120" s="855"/>
      <c r="AY120" s="856"/>
      <c r="AZ120" s="855"/>
      <c r="BA120" s="855">
        <f>SUM(BA13:BA119)</f>
        <v>1409368015</v>
      </c>
      <c r="BB120" s="855">
        <f>SUM(BB13:BB119)</f>
        <v>1335245363</v>
      </c>
      <c r="BC120" s="855"/>
      <c r="BD120" s="855"/>
      <c r="BE120" s="855"/>
      <c r="BF120" s="857"/>
      <c r="BG120" s="858"/>
      <c r="BH120" s="859"/>
      <c r="BI120" s="860"/>
      <c r="BJ120" s="861"/>
      <c r="BK120" s="862"/>
      <c r="BL120" s="862"/>
    </row>
    <row r="121" spans="1:64" x14ac:dyDescent="0.2">
      <c r="A121" s="865"/>
      <c r="B121" s="865"/>
      <c r="C121" s="865"/>
      <c r="D121" s="865"/>
      <c r="E121" s="865"/>
      <c r="F121" s="865"/>
      <c r="G121" s="865"/>
      <c r="H121" s="865"/>
      <c r="I121" s="865"/>
      <c r="J121" s="865"/>
      <c r="K121" s="871"/>
      <c r="L121" s="866"/>
      <c r="M121" s="865"/>
      <c r="N121" s="1889"/>
      <c r="O121" s="865"/>
      <c r="P121" s="867"/>
      <c r="Q121" s="868"/>
      <c r="R121" s="869"/>
      <c r="S121" s="870"/>
      <c r="T121" s="865"/>
      <c r="U121" s="865"/>
      <c r="V121" s="871"/>
      <c r="W121" s="1277"/>
      <c r="X121" s="1278"/>
      <c r="Y121" s="1278"/>
      <c r="Z121" s="872"/>
      <c r="AA121" s="871"/>
      <c r="AB121" s="864"/>
      <c r="AC121" s="873"/>
      <c r="AD121" s="864"/>
      <c r="AE121" s="873"/>
      <c r="AF121" s="864"/>
      <c r="AG121" s="873"/>
      <c r="AH121" s="864"/>
      <c r="AI121" s="873"/>
      <c r="AJ121" s="864"/>
      <c r="AK121" s="873"/>
      <c r="AL121" s="864"/>
      <c r="AM121" s="873"/>
      <c r="AN121" s="864"/>
      <c r="AO121" s="873"/>
      <c r="AP121" s="864"/>
      <c r="AQ121" s="873"/>
      <c r="AR121" s="864"/>
      <c r="AS121" s="873"/>
      <c r="AT121" s="864"/>
      <c r="AU121" s="873"/>
      <c r="AV121" s="864"/>
      <c r="AW121" s="873"/>
      <c r="AX121" s="864"/>
      <c r="AY121" s="873"/>
      <c r="AZ121" s="864"/>
      <c r="BA121" s="864"/>
      <c r="BB121" s="864"/>
      <c r="BC121" s="864"/>
      <c r="BD121" s="864"/>
      <c r="BE121" s="864"/>
      <c r="BF121" s="874"/>
      <c r="BG121" s="875"/>
      <c r="BH121" s="876"/>
      <c r="BI121" s="877"/>
      <c r="BJ121" s="878"/>
    </row>
    <row r="122" spans="1:64" x14ac:dyDescent="0.2">
      <c r="A122" s="865"/>
      <c r="B122" s="865"/>
      <c r="C122" s="865"/>
      <c r="D122" s="865"/>
      <c r="E122" s="865"/>
      <c r="F122" s="865"/>
      <c r="G122" s="865"/>
      <c r="H122" s="865"/>
      <c r="I122" s="865"/>
      <c r="J122" s="865"/>
      <c r="K122" s="871"/>
      <c r="L122" s="866"/>
      <c r="M122" s="865"/>
      <c r="N122" s="1889"/>
      <c r="O122" s="865"/>
      <c r="P122" s="1910"/>
      <c r="Q122" s="1911"/>
      <c r="R122" s="1912"/>
      <c r="S122" s="1913"/>
      <c r="T122" s="1914"/>
      <c r="U122" s="1914"/>
      <c r="V122" s="1915"/>
      <c r="W122" s="1916"/>
      <c r="X122" s="1917"/>
      <c r="Y122" s="1917"/>
      <c r="Z122" s="1918"/>
      <c r="AA122" s="1915"/>
      <c r="AB122" s="1914"/>
      <c r="AC122" s="1919"/>
      <c r="AD122" s="1914"/>
      <c r="AE122" s="1919"/>
      <c r="AF122" s="1914"/>
      <c r="AG122" s="1919"/>
      <c r="AH122" s="1914"/>
      <c r="AI122" s="1919"/>
      <c r="AJ122" s="1914"/>
      <c r="AK122" s="1919"/>
      <c r="AL122" s="1914"/>
      <c r="AM122" s="1919"/>
      <c r="AN122" s="1914"/>
      <c r="AO122" s="1919"/>
      <c r="AP122" s="1914"/>
      <c r="AQ122" s="1919"/>
      <c r="AR122" s="1914"/>
      <c r="AS122" s="1919"/>
      <c r="AT122" s="1914"/>
      <c r="AU122" s="1919"/>
      <c r="AV122" s="1914"/>
      <c r="AW122" s="1919"/>
      <c r="AX122" s="1914"/>
      <c r="AY122" s="1919"/>
      <c r="AZ122" s="1914"/>
      <c r="BA122" s="1914"/>
      <c r="BB122" s="1914"/>
      <c r="BC122" s="864"/>
      <c r="BD122" s="864"/>
      <c r="BE122" s="864"/>
      <c r="BF122" s="874"/>
      <c r="BG122" s="875"/>
      <c r="BH122" s="876"/>
      <c r="BI122" s="877"/>
      <c r="BJ122" s="878"/>
    </row>
    <row r="123" spans="1:64" ht="33" customHeight="1" x14ac:dyDescent="0.2">
      <c r="A123" s="865"/>
      <c r="B123" s="865"/>
      <c r="C123" s="865"/>
      <c r="D123" s="865"/>
      <c r="E123" s="865"/>
      <c r="F123" s="865"/>
      <c r="G123" s="865"/>
      <c r="H123" s="865"/>
      <c r="I123" s="865"/>
      <c r="J123" s="865"/>
      <c r="K123" s="871"/>
      <c r="L123" s="866"/>
      <c r="M123" s="865"/>
      <c r="N123" s="1889"/>
      <c r="O123" s="865"/>
      <c r="P123" s="1910"/>
      <c r="Q123" s="1911"/>
      <c r="R123" s="1912"/>
      <c r="S123" s="1920"/>
      <c r="T123" s="1914"/>
      <c r="U123" s="733"/>
      <c r="V123" s="1921"/>
      <c r="W123" s="1922"/>
      <c r="X123" s="1923"/>
      <c r="Y123" s="1923"/>
      <c r="Z123" s="1924"/>
      <c r="AA123" s="1921"/>
      <c r="AB123" s="733"/>
      <c r="AC123" s="1925"/>
      <c r="AD123" s="733"/>
      <c r="AE123" s="1925"/>
      <c r="AF123" s="733"/>
      <c r="AG123" s="1925"/>
      <c r="AH123" s="733"/>
      <c r="AI123" s="1925"/>
      <c r="AJ123" s="733"/>
      <c r="AK123" s="1925"/>
      <c r="AL123" s="733"/>
      <c r="AM123" s="1925"/>
      <c r="AN123" s="733"/>
      <c r="AO123" s="1925"/>
      <c r="AP123" s="733"/>
      <c r="AQ123" s="1925"/>
      <c r="AR123" s="733"/>
      <c r="AS123" s="1925"/>
      <c r="AT123" s="733"/>
      <c r="AU123" s="1925"/>
      <c r="AV123" s="733"/>
      <c r="AW123" s="1925"/>
      <c r="AX123" s="733"/>
      <c r="AY123" s="1925"/>
      <c r="AZ123" s="733"/>
      <c r="BA123" s="1923"/>
      <c r="BB123" s="1923"/>
      <c r="BD123" s="864"/>
      <c r="BE123" s="864"/>
      <c r="BF123" s="874"/>
      <c r="BG123" s="875"/>
      <c r="BH123" s="876"/>
      <c r="BI123" s="877"/>
      <c r="BJ123" s="878"/>
    </row>
    <row r="124" spans="1:64" x14ac:dyDescent="0.2">
      <c r="A124" s="865"/>
      <c r="B124" s="865"/>
      <c r="C124" s="865"/>
      <c r="D124" s="865"/>
      <c r="E124" s="865"/>
      <c r="F124" s="865"/>
      <c r="G124" s="865"/>
      <c r="H124" s="865"/>
      <c r="I124" s="865"/>
      <c r="J124" s="865"/>
      <c r="K124" s="871"/>
      <c r="L124" s="866"/>
      <c r="M124" s="865"/>
      <c r="N124" s="1889"/>
      <c r="O124" s="865"/>
      <c r="P124" s="1910"/>
      <c r="Q124" s="1911"/>
      <c r="R124" s="1912"/>
      <c r="S124" s="1913"/>
      <c r="T124" s="1914"/>
      <c r="U124" s="733"/>
      <c r="V124" s="1921"/>
      <c r="W124" s="1926"/>
      <c r="X124" s="1927"/>
      <c r="Y124" s="1927"/>
      <c r="Z124" s="1924"/>
      <c r="AA124" s="1921"/>
      <c r="AB124" s="733"/>
      <c r="AC124" s="1925"/>
      <c r="AD124" s="733"/>
      <c r="AE124" s="1925"/>
      <c r="AF124" s="733"/>
      <c r="AG124" s="1925"/>
      <c r="AH124" s="733"/>
      <c r="AI124" s="1925"/>
      <c r="AJ124" s="733"/>
      <c r="AK124" s="1925"/>
      <c r="AL124" s="733"/>
      <c r="AM124" s="1925"/>
      <c r="AN124" s="733"/>
      <c r="AO124" s="1925"/>
      <c r="AP124" s="733"/>
      <c r="AQ124" s="1925"/>
      <c r="AR124" s="733"/>
      <c r="AS124" s="1925"/>
      <c r="AT124" s="733"/>
      <c r="AU124" s="1925"/>
      <c r="AV124" s="733"/>
      <c r="AW124" s="1925"/>
      <c r="AX124" s="733"/>
      <c r="AY124" s="1925"/>
      <c r="AZ124" s="733"/>
      <c r="BA124" s="733"/>
      <c r="BB124" s="733"/>
      <c r="BD124" s="864"/>
      <c r="BE124" s="864"/>
      <c r="BF124" s="874"/>
      <c r="BG124" s="875"/>
      <c r="BH124" s="876"/>
      <c r="BI124" s="877"/>
      <c r="BJ124" s="878"/>
    </row>
    <row r="129" spans="10:12" ht="15" x14ac:dyDescent="0.25">
      <c r="J129" s="1506" t="s">
        <v>669</v>
      </c>
      <c r="K129" s="4891"/>
      <c r="L129" s="883"/>
    </row>
    <row r="130" spans="10:12" x14ac:dyDescent="0.2">
      <c r="J130" s="761" t="s">
        <v>670</v>
      </c>
    </row>
  </sheetData>
  <sheetProtection algorithmName="SHA-512" hashValue="4U4jTKzKAeww42HosQW1sjgks3WoUlbnLnnxpbIbsVpoUfcfU5a7QO3YYVvDPghRdAbsiSFi+iB2AMixvCVgFQ==" saltValue="RkvC6ubmSCyYRFa5lp6Igg==" spinCount="100000" sheet="1" objects="1" scenarios="1"/>
  <mergeCells count="746">
    <mergeCell ref="A120:R120"/>
    <mergeCell ref="BA111:BA118"/>
    <mergeCell ref="BB111:BB118"/>
    <mergeCell ref="BC111:BC118"/>
    <mergeCell ref="BD111:BD118"/>
    <mergeCell ref="BE111:BE118"/>
    <mergeCell ref="BJ111:BJ119"/>
    <mergeCell ref="AU111:AU118"/>
    <mergeCell ref="AV111:AV118"/>
    <mergeCell ref="AW111:AW118"/>
    <mergeCell ref="AX111:AX118"/>
    <mergeCell ref="AY111:AY118"/>
    <mergeCell ref="AZ111:AZ118"/>
    <mergeCell ref="AO111:AO118"/>
    <mergeCell ref="AP111:AP118"/>
    <mergeCell ref="AQ111:AQ118"/>
    <mergeCell ref="AR111:AR118"/>
    <mergeCell ref="AS111:AS118"/>
    <mergeCell ref="AT111:AT118"/>
    <mergeCell ref="AI111:AI118"/>
    <mergeCell ref="AJ111:AJ118"/>
    <mergeCell ref="AK111:AK118"/>
    <mergeCell ref="AL111:AL118"/>
    <mergeCell ref="AM111:AM118"/>
    <mergeCell ref="T101:T109"/>
    <mergeCell ref="U101:U109"/>
    <mergeCell ref="Z101:Z109"/>
    <mergeCell ref="AA101:AA109"/>
    <mergeCell ref="AB101:AB109"/>
    <mergeCell ref="AC101:AC109"/>
    <mergeCell ref="N101:N103"/>
    <mergeCell ref="O101:O109"/>
    <mergeCell ref="AN111:AN118"/>
    <mergeCell ref="AC111:AC118"/>
    <mergeCell ref="AD111:AD118"/>
    <mergeCell ref="AE111:AE118"/>
    <mergeCell ref="AF111:AF118"/>
    <mergeCell ref="AG111:AG118"/>
    <mergeCell ref="AH111:AH118"/>
    <mergeCell ref="S111:S118"/>
    <mergeCell ref="T111:T118"/>
    <mergeCell ref="U111:U118"/>
    <mergeCell ref="Z111:Z118"/>
    <mergeCell ref="AA111:AA118"/>
    <mergeCell ref="AB111:AB118"/>
    <mergeCell ref="P101:P109"/>
    <mergeCell ref="Q101:Q109"/>
    <mergeCell ref="R101:R103"/>
    <mergeCell ref="BB101:BB109"/>
    <mergeCell ref="BC101:BC109"/>
    <mergeCell ref="BD101:BD109"/>
    <mergeCell ref="AO101:AO109"/>
    <mergeCell ref="AD101:AD109"/>
    <mergeCell ref="AE101:AE109"/>
    <mergeCell ref="AF101:AF109"/>
    <mergeCell ref="AG101:AG109"/>
    <mergeCell ref="AH101:AH109"/>
    <mergeCell ref="AI101:AI109"/>
    <mergeCell ref="BE101:BE109"/>
    <mergeCell ref="BJ101:BJ109"/>
    <mergeCell ref="J104:J108"/>
    <mergeCell ref="K104:K108"/>
    <mergeCell ref="L104:L108"/>
    <mergeCell ref="M104:M108"/>
    <mergeCell ref="N104:N108"/>
    <mergeCell ref="AV101:AV109"/>
    <mergeCell ref="AW101:AW109"/>
    <mergeCell ref="AX101:AX109"/>
    <mergeCell ref="AY101:AY109"/>
    <mergeCell ref="AZ101:AZ109"/>
    <mergeCell ref="BA101:BA109"/>
    <mergeCell ref="AP101:AP109"/>
    <mergeCell ref="AQ101:AQ109"/>
    <mergeCell ref="AR101:AR109"/>
    <mergeCell ref="AS101:AS109"/>
    <mergeCell ref="AT101:AT109"/>
    <mergeCell ref="AU101:AU109"/>
    <mergeCell ref="AJ101:AJ109"/>
    <mergeCell ref="AK101:AK109"/>
    <mergeCell ref="AL101:AL109"/>
    <mergeCell ref="AM101:AM109"/>
    <mergeCell ref="AN101:AN109"/>
    <mergeCell ref="S101:S109"/>
    <mergeCell ref="R104:R108"/>
    <mergeCell ref="D100:F119"/>
    <mergeCell ref="G101:I109"/>
    <mergeCell ref="J101:J103"/>
    <mergeCell ref="K101:K103"/>
    <mergeCell ref="L101:L103"/>
    <mergeCell ref="M101:M103"/>
    <mergeCell ref="G111:I119"/>
    <mergeCell ref="J111:J118"/>
    <mergeCell ref="K111:K118"/>
    <mergeCell ref="L111:L118"/>
    <mergeCell ref="M111:M118"/>
    <mergeCell ref="N111:N118"/>
    <mergeCell ref="O111:O118"/>
    <mergeCell ref="P111:P118"/>
    <mergeCell ref="Q111:Q118"/>
    <mergeCell ref="R111:R118"/>
    <mergeCell ref="BA96:BA98"/>
    <mergeCell ref="BB96:BB98"/>
    <mergeCell ref="BC96:BC98"/>
    <mergeCell ref="BD96:BD98"/>
    <mergeCell ref="BE96:BE98"/>
    <mergeCell ref="BJ96:BJ98"/>
    <mergeCell ref="AU96:AU98"/>
    <mergeCell ref="AV96:AV98"/>
    <mergeCell ref="AW96:AW98"/>
    <mergeCell ref="AX96:AX98"/>
    <mergeCell ref="AY96:AY98"/>
    <mergeCell ref="AZ96:AZ98"/>
    <mergeCell ref="AO96:AO98"/>
    <mergeCell ref="AP96:AP98"/>
    <mergeCell ref="AQ96:AQ98"/>
    <mergeCell ref="AR96:AR98"/>
    <mergeCell ref="AS96:AS98"/>
    <mergeCell ref="AT96:AT98"/>
    <mergeCell ref="AI96:AI98"/>
    <mergeCell ref="AJ96:AJ98"/>
    <mergeCell ref="AK96:AK98"/>
    <mergeCell ref="AL96:AL98"/>
    <mergeCell ref="AM96:AM98"/>
    <mergeCell ref="AN96:AN98"/>
    <mergeCell ref="AC96:AC98"/>
    <mergeCell ref="AD96:AD98"/>
    <mergeCell ref="AE96:AE98"/>
    <mergeCell ref="AF96:AF98"/>
    <mergeCell ref="AG96:AG98"/>
    <mergeCell ref="AH96:AH98"/>
    <mergeCell ref="S96:S98"/>
    <mergeCell ref="T96:T98"/>
    <mergeCell ref="U96:U98"/>
    <mergeCell ref="Z96:Z98"/>
    <mergeCell ref="AA96:AA98"/>
    <mergeCell ref="AB96:AB98"/>
    <mergeCell ref="M96:M98"/>
    <mergeCell ref="N96:N98"/>
    <mergeCell ref="O96:O98"/>
    <mergeCell ref="P96:P98"/>
    <mergeCell ref="Q96:Q98"/>
    <mergeCell ref="R96:R98"/>
    <mergeCell ref="BC89:BC92"/>
    <mergeCell ref="BD89:BD92"/>
    <mergeCell ref="BE89:BE92"/>
    <mergeCell ref="AP89:AP92"/>
    <mergeCell ref="AE89:AE92"/>
    <mergeCell ref="AF89:AF92"/>
    <mergeCell ref="AG89:AG92"/>
    <mergeCell ref="AH89:AH92"/>
    <mergeCell ref="AI89:AI92"/>
    <mergeCell ref="AJ89:AJ92"/>
    <mergeCell ref="U89:U92"/>
    <mergeCell ref="Z89:Z92"/>
    <mergeCell ref="AA89:AA92"/>
    <mergeCell ref="AB89:AB92"/>
    <mergeCell ref="AC89:AC92"/>
    <mergeCell ref="AD89:AD92"/>
    <mergeCell ref="O89:O92"/>
    <mergeCell ref="P89:P92"/>
    <mergeCell ref="G89:I92"/>
    <mergeCell ref="J89:J91"/>
    <mergeCell ref="K89:K91"/>
    <mergeCell ref="L89:L91"/>
    <mergeCell ref="M89:M91"/>
    <mergeCell ref="N89:N91"/>
    <mergeCell ref="BJ89:BJ92"/>
    <mergeCell ref="A94:C119"/>
    <mergeCell ref="D95:F98"/>
    <mergeCell ref="G96:I98"/>
    <mergeCell ref="J96:J98"/>
    <mergeCell ref="K96:K98"/>
    <mergeCell ref="L96:L98"/>
    <mergeCell ref="AW89:AW92"/>
    <mergeCell ref="AX89:AX92"/>
    <mergeCell ref="AY89:AY92"/>
    <mergeCell ref="AZ89:AZ92"/>
    <mergeCell ref="BA89:BA92"/>
    <mergeCell ref="BB89:BB92"/>
    <mergeCell ref="AQ89:AQ92"/>
    <mergeCell ref="AR89:AR92"/>
    <mergeCell ref="AS89:AS92"/>
    <mergeCell ref="AT89:AT92"/>
    <mergeCell ref="AU89:AU92"/>
    <mergeCell ref="Q89:Q92"/>
    <mergeCell ref="R89:R91"/>
    <mergeCell ref="S89:S92"/>
    <mergeCell ref="T89:T92"/>
    <mergeCell ref="AV89:AV92"/>
    <mergeCell ref="AK89:AK92"/>
    <mergeCell ref="AL89:AL92"/>
    <mergeCell ref="AM89:AM92"/>
    <mergeCell ref="AN89:AN92"/>
    <mergeCell ref="AO89:AO92"/>
    <mergeCell ref="BD80:BD87"/>
    <mergeCell ref="BE80:BE87"/>
    <mergeCell ref="J84:J87"/>
    <mergeCell ref="K84:K87"/>
    <mergeCell ref="L84:L87"/>
    <mergeCell ref="M84:M87"/>
    <mergeCell ref="N84:N87"/>
    <mergeCell ref="R84:R87"/>
    <mergeCell ref="AX80:AX87"/>
    <mergeCell ref="AY80:AY87"/>
    <mergeCell ref="AZ80:AZ87"/>
    <mergeCell ref="BA80:BA87"/>
    <mergeCell ref="BB80:BB87"/>
    <mergeCell ref="BC80:BC87"/>
    <mergeCell ref="AR80:AR87"/>
    <mergeCell ref="AS80:AS87"/>
    <mergeCell ref="AT80:AT87"/>
    <mergeCell ref="AU80:AU87"/>
    <mergeCell ref="AV80:AV87"/>
    <mergeCell ref="J80:J82"/>
    <mergeCell ref="K80:K82"/>
    <mergeCell ref="L80:L82"/>
    <mergeCell ref="M80:M82"/>
    <mergeCell ref="N80:N82"/>
    <mergeCell ref="AW67:AW79"/>
    <mergeCell ref="AL67:AL79"/>
    <mergeCell ref="AM67:AM79"/>
    <mergeCell ref="AP80:AP87"/>
    <mergeCell ref="AQ80:AQ87"/>
    <mergeCell ref="AF80:AF87"/>
    <mergeCell ref="AG80:AG87"/>
    <mergeCell ref="AH80:AH87"/>
    <mergeCell ref="AI80:AI87"/>
    <mergeCell ref="AJ80:AJ87"/>
    <mergeCell ref="AK80:AK87"/>
    <mergeCell ref="AJ67:AJ79"/>
    <mergeCell ref="AF67:AF79"/>
    <mergeCell ref="AG67:AG79"/>
    <mergeCell ref="AH67:AH79"/>
    <mergeCell ref="AI67:AI79"/>
    <mergeCell ref="AU67:AU79"/>
    <mergeCell ref="AW80:AW87"/>
    <mergeCell ref="AL80:AL87"/>
    <mergeCell ref="AM80:AM87"/>
    <mergeCell ref="AN80:AN87"/>
    <mergeCell ref="AO80:AO87"/>
    <mergeCell ref="T67:T79"/>
    <mergeCell ref="U67:U79"/>
    <mergeCell ref="O80:O87"/>
    <mergeCell ref="P67:P79"/>
    <mergeCell ref="Q67:Q79"/>
    <mergeCell ref="R67:R69"/>
    <mergeCell ref="R78:R79"/>
    <mergeCell ref="R75:R76"/>
    <mergeCell ref="AV67:AV79"/>
    <mergeCell ref="AA80:AA87"/>
    <mergeCell ref="AB80:AB87"/>
    <mergeCell ref="AC80:AC87"/>
    <mergeCell ref="AD80:AD87"/>
    <mergeCell ref="AE80:AE87"/>
    <mergeCell ref="Z80:Z87"/>
    <mergeCell ref="S80:S87"/>
    <mergeCell ref="T80:T87"/>
    <mergeCell ref="U80:U87"/>
    <mergeCell ref="BD67:BD79"/>
    <mergeCell ref="BE67:BE79"/>
    <mergeCell ref="BJ67:BJ87"/>
    <mergeCell ref="J70:J74"/>
    <mergeCell ref="K70:K74"/>
    <mergeCell ref="L70:L74"/>
    <mergeCell ref="M70:M74"/>
    <mergeCell ref="N70:N74"/>
    <mergeCell ref="R70:R74"/>
    <mergeCell ref="J75:J76"/>
    <mergeCell ref="AX67:AX79"/>
    <mergeCell ref="AY67:AY79"/>
    <mergeCell ref="AZ67:AZ79"/>
    <mergeCell ref="BA67:BA79"/>
    <mergeCell ref="BB67:BB79"/>
    <mergeCell ref="BC67:BC79"/>
    <mergeCell ref="AR67:AR79"/>
    <mergeCell ref="AS67:AS79"/>
    <mergeCell ref="AT67:AT79"/>
    <mergeCell ref="N78:N79"/>
    <mergeCell ref="P80:P87"/>
    <mergeCell ref="Q80:Q87"/>
    <mergeCell ref="R80:R82"/>
    <mergeCell ref="S67:S79"/>
    <mergeCell ref="AE64:AE65"/>
    <mergeCell ref="AF64:AF65"/>
    <mergeCell ref="AG64:AG65"/>
    <mergeCell ref="AH64:AH65"/>
    <mergeCell ref="AI64:AI65"/>
    <mergeCell ref="AJ64:AJ65"/>
    <mergeCell ref="Z64:Z65"/>
    <mergeCell ref="AA64:AA65"/>
    <mergeCell ref="AB64:AB65"/>
    <mergeCell ref="AC64:AC65"/>
    <mergeCell ref="AD64:AD65"/>
    <mergeCell ref="AY64:AY65"/>
    <mergeCell ref="AZ64:AZ65"/>
    <mergeCell ref="BA64:BA65"/>
    <mergeCell ref="BB64:BB65"/>
    <mergeCell ref="AQ64:AQ65"/>
    <mergeCell ref="AR64:AR65"/>
    <mergeCell ref="AS64:AS65"/>
    <mergeCell ref="AT64:AT65"/>
    <mergeCell ref="AU64:AU65"/>
    <mergeCell ref="AV64:AV65"/>
    <mergeCell ref="G67:I87"/>
    <mergeCell ref="J67:J69"/>
    <mergeCell ref="K67:K69"/>
    <mergeCell ref="L67:L69"/>
    <mergeCell ref="M67:M69"/>
    <mergeCell ref="N67:N69"/>
    <mergeCell ref="O67:O79"/>
    <mergeCell ref="AW64:AW65"/>
    <mergeCell ref="AX64:AX65"/>
    <mergeCell ref="AK64:AK65"/>
    <mergeCell ref="U64:U65"/>
    <mergeCell ref="AL64:AL65"/>
    <mergeCell ref="Z67:Z79"/>
    <mergeCell ref="AA67:AA79"/>
    <mergeCell ref="AB67:AB79"/>
    <mergeCell ref="AC67:AC79"/>
    <mergeCell ref="AD67:AD79"/>
    <mergeCell ref="AE67:AE79"/>
    <mergeCell ref="AN67:AN79"/>
    <mergeCell ref="AO67:AO79"/>
    <mergeCell ref="AP67:AP79"/>
    <mergeCell ref="AQ67:AQ79"/>
    <mergeCell ref="AK67:AK79"/>
    <mergeCell ref="AP64:AP65"/>
    <mergeCell ref="Q64:Q65"/>
    <mergeCell ref="T64:T65"/>
    <mergeCell ref="BJ61:BJ65"/>
    <mergeCell ref="AZ61:AZ63"/>
    <mergeCell ref="BA61:BA63"/>
    <mergeCell ref="BB61:BB63"/>
    <mergeCell ref="U61:U63"/>
    <mergeCell ref="Z61:Z63"/>
    <mergeCell ref="AA61:AA63"/>
    <mergeCell ref="AB61:AB63"/>
    <mergeCell ref="AC61:AC63"/>
    <mergeCell ref="AD61:AD63"/>
    <mergeCell ref="AM64:AM65"/>
    <mergeCell ref="AN64:AN65"/>
    <mergeCell ref="AO64:AO65"/>
    <mergeCell ref="BD61:BD63"/>
    <mergeCell ref="BE61:BE63"/>
    <mergeCell ref="AP61:AP63"/>
    <mergeCell ref="AN61:AN63"/>
    <mergeCell ref="AO61:AO63"/>
    <mergeCell ref="BC61:BC63"/>
    <mergeCell ref="BC64:BC65"/>
    <mergeCell ref="BD64:BD65"/>
    <mergeCell ref="BE64:BE65"/>
    <mergeCell ref="J62:J63"/>
    <mergeCell ref="K62:K63"/>
    <mergeCell ref="L62:L63"/>
    <mergeCell ref="M62:M63"/>
    <mergeCell ref="N62:N63"/>
    <mergeCell ref="R62:R63"/>
    <mergeCell ref="AW61:AW63"/>
    <mergeCell ref="AX61:AX63"/>
    <mergeCell ref="AY61:AY63"/>
    <mergeCell ref="AQ61:AQ63"/>
    <mergeCell ref="AR61:AR63"/>
    <mergeCell ref="AS61:AS63"/>
    <mergeCell ref="AT61:AT63"/>
    <mergeCell ref="AU61:AU63"/>
    <mergeCell ref="AV61:AV63"/>
    <mergeCell ref="AK61:AK63"/>
    <mergeCell ref="AL61:AL63"/>
    <mergeCell ref="AM61:AM63"/>
    <mergeCell ref="AE61:AE63"/>
    <mergeCell ref="AF61:AF63"/>
    <mergeCell ref="AG61:AG63"/>
    <mergeCell ref="AH61:AH63"/>
    <mergeCell ref="AI61:AI63"/>
    <mergeCell ref="AJ61:AJ63"/>
    <mergeCell ref="BC57:BC59"/>
    <mergeCell ref="BD57:BD59"/>
    <mergeCell ref="J58:J59"/>
    <mergeCell ref="K58:K59"/>
    <mergeCell ref="L58:L59"/>
    <mergeCell ref="M58:M59"/>
    <mergeCell ref="N58:N59"/>
    <mergeCell ref="R58:R59"/>
    <mergeCell ref="AW57:AW59"/>
    <mergeCell ref="AX57:AX59"/>
    <mergeCell ref="AY57:AY59"/>
    <mergeCell ref="AZ57:AZ59"/>
    <mergeCell ref="BA57:BA59"/>
    <mergeCell ref="BB57:BB59"/>
    <mergeCell ref="AQ57:AQ59"/>
    <mergeCell ref="AR57:AR59"/>
    <mergeCell ref="AS57:AS59"/>
    <mergeCell ref="AT57:AT59"/>
    <mergeCell ref="AU57:AU59"/>
    <mergeCell ref="AV57:AV59"/>
    <mergeCell ref="AK57:AK59"/>
    <mergeCell ref="AL57:AL59"/>
    <mergeCell ref="AM57:AM59"/>
    <mergeCell ref="AN57:AN59"/>
    <mergeCell ref="AO57:AO59"/>
    <mergeCell ref="AP57:AP59"/>
    <mergeCell ref="AE57:AE59"/>
    <mergeCell ref="AF57:AF59"/>
    <mergeCell ref="AG57:AG59"/>
    <mergeCell ref="AH57:AH59"/>
    <mergeCell ref="AI57:AI59"/>
    <mergeCell ref="AJ57:AJ59"/>
    <mergeCell ref="U57:U59"/>
    <mergeCell ref="Z57:Z59"/>
    <mergeCell ref="AA57:AA59"/>
    <mergeCell ref="AB57:AB59"/>
    <mergeCell ref="AC57:AC59"/>
    <mergeCell ref="AD57:AD59"/>
    <mergeCell ref="BE53:BE59"/>
    <mergeCell ref="BJ53:BJ59"/>
    <mergeCell ref="J55:J56"/>
    <mergeCell ref="K55:K56"/>
    <mergeCell ref="L55:L56"/>
    <mergeCell ref="M55:M56"/>
    <mergeCell ref="N55:N56"/>
    <mergeCell ref="R55:R56"/>
    <mergeCell ref="S55:S56"/>
    <mergeCell ref="O57:O59"/>
    <mergeCell ref="AY53:AY56"/>
    <mergeCell ref="AZ53:AZ56"/>
    <mergeCell ref="BA53:BA56"/>
    <mergeCell ref="BB53:BB56"/>
    <mergeCell ref="BC53:BC56"/>
    <mergeCell ref="BD53:BD56"/>
    <mergeCell ref="AQ53:AQ56"/>
    <mergeCell ref="AR53:AR56"/>
    <mergeCell ref="AS53:AS56"/>
    <mergeCell ref="AT53:AT56"/>
    <mergeCell ref="AU53:AU56"/>
    <mergeCell ref="AW53:AW56"/>
    <mergeCell ref="AK53:AK56"/>
    <mergeCell ref="AL53:AL56"/>
    <mergeCell ref="AM53:AM56"/>
    <mergeCell ref="AN53:AN56"/>
    <mergeCell ref="AO53:AO56"/>
    <mergeCell ref="AP53:AP56"/>
    <mergeCell ref="AE53:AE56"/>
    <mergeCell ref="AF53:AF56"/>
    <mergeCell ref="AG53:AG56"/>
    <mergeCell ref="AH53:AH56"/>
    <mergeCell ref="AI53:AI56"/>
    <mergeCell ref="AJ53:AJ56"/>
    <mergeCell ref="U53:U56"/>
    <mergeCell ref="Z53:Z56"/>
    <mergeCell ref="AA53:AA56"/>
    <mergeCell ref="AB53:AB56"/>
    <mergeCell ref="AC53:AC56"/>
    <mergeCell ref="AD53:AD56"/>
    <mergeCell ref="D52:F92"/>
    <mergeCell ref="G53:I59"/>
    <mergeCell ref="O53:O56"/>
    <mergeCell ref="P53:P56"/>
    <mergeCell ref="Q53:Q56"/>
    <mergeCell ref="T53:T56"/>
    <mergeCell ref="P57:P59"/>
    <mergeCell ref="Q57:Q59"/>
    <mergeCell ref="S57:S59"/>
    <mergeCell ref="T57:T59"/>
    <mergeCell ref="G61:I65"/>
    <mergeCell ref="O61:O63"/>
    <mergeCell ref="P61:P63"/>
    <mergeCell ref="Q61:Q63"/>
    <mergeCell ref="S61:S63"/>
    <mergeCell ref="T61:T63"/>
    <mergeCell ref="O64:O65"/>
    <mergeCell ref="P64:P65"/>
    <mergeCell ref="BF45:BF46"/>
    <mergeCell ref="BG45:BG46"/>
    <mergeCell ref="BH45:BH46"/>
    <mergeCell ref="BI45:BI46"/>
    <mergeCell ref="J47:J50"/>
    <mergeCell ref="K47:K50"/>
    <mergeCell ref="L47:L50"/>
    <mergeCell ref="M47:M50"/>
    <mergeCell ref="N47:N50"/>
    <mergeCell ref="R47:R50"/>
    <mergeCell ref="AZ45:AZ50"/>
    <mergeCell ref="BA45:BA50"/>
    <mergeCell ref="BB45:BB50"/>
    <mergeCell ref="BC45:BC50"/>
    <mergeCell ref="BD45:BD50"/>
    <mergeCell ref="BE45:BE50"/>
    <mergeCell ref="AT45:AT50"/>
    <mergeCell ref="AU45:AU50"/>
    <mergeCell ref="AV45:AV50"/>
    <mergeCell ref="AW45:AW50"/>
    <mergeCell ref="AX45:AX50"/>
    <mergeCell ref="AY45:AY50"/>
    <mergeCell ref="AN45:AN50"/>
    <mergeCell ref="AO45:AO50"/>
    <mergeCell ref="AP45:AP50"/>
    <mergeCell ref="AQ45:AQ50"/>
    <mergeCell ref="AR45:AR50"/>
    <mergeCell ref="AS45:AS50"/>
    <mergeCell ref="AH45:AH50"/>
    <mergeCell ref="AI45:AI50"/>
    <mergeCell ref="AJ45:AJ50"/>
    <mergeCell ref="AK45:AK50"/>
    <mergeCell ref="AL45:AL50"/>
    <mergeCell ref="AM45:AM50"/>
    <mergeCell ref="AB45:AB50"/>
    <mergeCell ref="AC45:AC50"/>
    <mergeCell ref="AD45:AD50"/>
    <mergeCell ref="AE45:AE50"/>
    <mergeCell ref="AF45:AF50"/>
    <mergeCell ref="AG45:AG50"/>
    <mergeCell ref="V45:V46"/>
    <mergeCell ref="W45:W46"/>
    <mergeCell ref="X45:X46"/>
    <mergeCell ref="Y45:Y46"/>
    <mergeCell ref="Z45:Z50"/>
    <mergeCell ref="AA45:AA50"/>
    <mergeCell ref="P45:P50"/>
    <mergeCell ref="Q45:Q50"/>
    <mergeCell ref="R45:R46"/>
    <mergeCell ref="S45:S50"/>
    <mergeCell ref="T45:T50"/>
    <mergeCell ref="U45:U50"/>
    <mergeCell ref="J45:J46"/>
    <mergeCell ref="K45:K46"/>
    <mergeCell ref="L45:L46"/>
    <mergeCell ref="M45:M46"/>
    <mergeCell ref="N45:N46"/>
    <mergeCell ref="O45:O50"/>
    <mergeCell ref="BB33:BB44"/>
    <mergeCell ref="BC33:BC44"/>
    <mergeCell ref="BD33:BD44"/>
    <mergeCell ref="BE33:BE44"/>
    <mergeCell ref="BJ33:BJ50"/>
    <mergeCell ref="J43:J44"/>
    <mergeCell ref="K43:K44"/>
    <mergeCell ref="L43:L44"/>
    <mergeCell ref="M43:M44"/>
    <mergeCell ref="N43:N44"/>
    <mergeCell ref="AV33:AV44"/>
    <mergeCell ref="AW33:AW44"/>
    <mergeCell ref="AX33:AX44"/>
    <mergeCell ref="AY33:AY44"/>
    <mergeCell ref="AZ33:AZ44"/>
    <mergeCell ref="BA33:BA44"/>
    <mergeCell ref="AP33:AP44"/>
    <mergeCell ref="AQ33:AQ44"/>
    <mergeCell ref="AR33:AR44"/>
    <mergeCell ref="AS33:AS44"/>
    <mergeCell ref="AT33:AT44"/>
    <mergeCell ref="AU33:AU44"/>
    <mergeCell ref="AJ33:AJ44"/>
    <mergeCell ref="AK33:AK44"/>
    <mergeCell ref="AL33:AL44"/>
    <mergeCell ref="AM33:AM44"/>
    <mergeCell ref="AN33:AN44"/>
    <mergeCell ref="AO33:AO44"/>
    <mergeCell ref="AD33:AD44"/>
    <mergeCell ref="AE33:AE44"/>
    <mergeCell ref="AF33:AF44"/>
    <mergeCell ref="AG33:AG44"/>
    <mergeCell ref="AH33:AH44"/>
    <mergeCell ref="AI33:AI44"/>
    <mergeCell ref="T33:T44"/>
    <mergeCell ref="U33:U44"/>
    <mergeCell ref="Z33:Z44"/>
    <mergeCell ref="AA33:AA44"/>
    <mergeCell ref="AB33:AB44"/>
    <mergeCell ref="AC33:AC44"/>
    <mergeCell ref="M33:M39"/>
    <mergeCell ref="N33:N39"/>
    <mergeCell ref="P33:P44"/>
    <mergeCell ref="Q33:Q44"/>
    <mergeCell ref="R33:R39"/>
    <mergeCell ref="S33:S44"/>
    <mergeCell ref="R43:R44"/>
    <mergeCell ref="BC27:BC30"/>
    <mergeCell ref="BD27:BD30"/>
    <mergeCell ref="BE27:BE30"/>
    <mergeCell ref="BJ27:BJ30"/>
    <mergeCell ref="V29:V30"/>
    <mergeCell ref="D32:F50"/>
    <mergeCell ref="G33:I50"/>
    <mergeCell ref="J33:J39"/>
    <mergeCell ref="K33:K39"/>
    <mergeCell ref="L33:L39"/>
    <mergeCell ref="AW27:AW30"/>
    <mergeCell ref="AX27:AX30"/>
    <mergeCell ref="AY27:AY30"/>
    <mergeCell ref="AZ27:AZ30"/>
    <mergeCell ref="BA27:BA30"/>
    <mergeCell ref="BB27:BB30"/>
    <mergeCell ref="AQ27:AQ30"/>
    <mergeCell ref="AR27:AR30"/>
    <mergeCell ref="AS27:AS30"/>
    <mergeCell ref="AT27:AT30"/>
    <mergeCell ref="AU27:AU30"/>
    <mergeCell ref="AV27:AV30"/>
    <mergeCell ref="AK27:AK30"/>
    <mergeCell ref="AL27:AL30"/>
    <mergeCell ref="AM27:AM30"/>
    <mergeCell ref="AN27:AN30"/>
    <mergeCell ref="AO27:AO30"/>
    <mergeCell ref="AP27:AP30"/>
    <mergeCell ref="AE27:AE30"/>
    <mergeCell ref="AF27:AF30"/>
    <mergeCell ref="AG27:AG30"/>
    <mergeCell ref="AH27:AH30"/>
    <mergeCell ref="AI27:AI30"/>
    <mergeCell ref="AJ27:AJ30"/>
    <mergeCell ref="U27:U30"/>
    <mergeCell ref="Z27:Z30"/>
    <mergeCell ref="AA27:AA30"/>
    <mergeCell ref="AB27:AB30"/>
    <mergeCell ref="AC27:AC30"/>
    <mergeCell ref="AD27:AD30"/>
    <mergeCell ref="G27:I30"/>
    <mergeCell ref="O27:O30"/>
    <mergeCell ref="P27:P30"/>
    <mergeCell ref="Q27:Q30"/>
    <mergeCell ref="S27:S30"/>
    <mergeCell ref="T27:T30"/>
    <mergeCell ref="BJ13:BJ25"/>
    <mergeCell ref="J16:J17"/>
    <mergeCell ref="K16:K17"/>
    <mergeCell ref="L16:L17"/>
    <mergeCell ref="M16:M17"/>
    <mergeCell ref="N16:N17"/>
    <mergeCell ref="J18:J23"/>
    <mergeCell ref="K18:K23"/>
    <mergeCell ref="L18:L23"/>
    <mergeCell ref="M18:M23"/>
    <mergeCell ref="AZ13:AZ25"/>
    <mergeCell ref="BA13:BA25"/>
    <mergeCell ref="BB13:BB25"/>
    <mergeCell ref="BC13:BC25"/>
    <mergeCell ref="BD13:BD25"/>
    <mergeCell ref="BE13:BE25"/>
    <mergeCell ref="AT13:AT25"/>
    <mergeCell ref="AU13:AU25"/>
    <mergeCell ref="AV13:AV25"/>
    <mergeCell ref="AW13:AW25"/>
    <mergeCell ref="AX13:AX25"/>
    <mergeCell ref="AY13:AY25"/>
    <mergeCell ref="AN13:AN25"/>
    <mergeCell ref="AO13:AO25"/>
    <mergeCell ref="AP13:AP25"/>
    <mergeCell ref="AQ13:AQ25"/>
    <mergeCell ref="AR13:AR25"/>
    <mergeCell ref="AS13:AS25"/>
    <mergeCell ref="AH13:AH25"/>
    <mergeCell ref="AI13:AI25"/>
    <mergeCell ref="AJ13:AJ25"/>
    <mergeCell ref="AK13:AK25"/>
    <mergeCell ref="AL13:AL25"/>
    <mergeCell ref="AM13:AM25"/>
    <mergeCell ref="AC13:AC25"/>
    <mergeCell ref="AD13:AD25"/>
    <mergeCell ref="AE13:AE25"/>
    <mergeCell ref="AF13:AF25"/>
    <mergeCell ref="AG13:AG25"/>
    <mergeCell ref="P13:P25"/>
    <mergeCell ref="Q13:Q25"/>
    <mergeCell ref="R13:R14"/>
    <mergeCell ref="S13:S25"/>
    <mergeCell ref="T13:T25"/>
    <mergeCell ref="U13:U25"/>
    <mergeCell ref="R18:R23"/>
    <mergeCell ref="R24:R25"/>
    <mergeCell ref="W7:Y8"/>
    <mergeCell ref="Z7:Z9"/>
    <mergeCell ref="AA7:AA9"/>
    <mergeCell ref="Q7:Q9"/>
    <mergeCell ref="R7:R9"/>
    <mergeCell ref="S7:S9"/>
    <mergeCell ref="T7:T9"/>
    <mergeCell ref="U7:U9"/>
    <mergeCell ref="AB13:AB25"/>
    <mergeCell ref="R16:R17"/>
    <mergeCell ref="A11:C92"/>
    <mergeCell ref="D12:F30"/>
    <mergeCell ref="G13:I25"/>
    <mergeCell ref="J13:J14"/>
    <mergeCell ref="K13:K14"/>
    <mergeCell ref="L13:L14"/>
    <mergeCell ref="M13:M14"/>
    <mergeCell ref="N13:N14"/>
    <mergeCell ref="O13:O15"/>
    <mergeCell ref="N18:N23"/>
    <mergeCell ref="O20:O25"/>
    <mergeCell ref="J24:J25"/>
    <mergeCell ref="K24:K25"/>
    <mergeCell ref="L24:L25"/>
    <mergeCell ref="M24:M25"/>
    <mergeCell ref="N24:N25"/>
    <mergeCell ref="K75:K76"/>
    <mergeCell ref="L75:L76"/>
    <mergeCell ref="M75:M76"/>
    <mergeCell ref="N75:N76"/>
    <mergeCell ref="J78:J79"/>
    <mergeCell ref="K78:K79"/>
    <mergeCell ref="L78:L79"/>
    <mergeCell ref="M78:M79"/>
    <mergeCell ref="AF8:AG8"/>
    <mergeCell ref="AH8:AI8"/>
    <mergeCell ref="AJ8:AK8"/>
    <mergeCell ref="AL8:AM8"/>
    <mergeCell ref="AN8:AO8"/>
    <mergeCell ref="AB7:AM7"/>
    <mergeCell ref="AN7:AY7"/>
    <mergeCell ref="AZ7:BE7"/>
    <mergeCell ref="AP8:AQ8"/>
    <mergeCell ref="AR8:AS8"/>
    <mergeCell ref="AT8:AU8"/>
    <mergeCell ref="AV8:AW8"/>
    <mergeCell ref="BE8:BE9"/>
    <mergeCell ref="AX8:AY8"/>
    <mergeCell ref="AZ8:AZ9"/>
    <mergeCell ref="BA8:BA9"/>
    <mergeCell ref="BB8:BB9"/>
    <mergeCell ref="BC8:BC9"/>
    <mergeCell ref="BD8:BD9"/>
    <mergeCell ref="A1:BF4"/>
    <mergeCell ref="A5:M6"/>
    <mergeCell ref="Q5:BJ5"/>
    <mergeCell ref="Q6:AA6"/>
    <mergeCell ref="AB6:AY6"/>
    <mergeCell ref="BF6:BJ6"/>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9"/>
    <mergeCell ref="AB8:AC8"/>
    <mergeCell ref="AD8:AE8"/>
  </mergeCells>
  <pageMargins left="0.7" right="0.7" top="0.75" bottom="0.75" header="0.3" footer="0.3"/>
  <pageSetup paperSize="190" scale="34" orientation="landscape" r:id="rId1"/>
  <rowBreaks count="1" manualBreakCount="1">
    <brk id="90" max="38" man="1"/>
  </rowBreaks>
  <colBreaks count="1" manualBreakCount="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K92"/>
  <sheetViews>
    <sheetView topLeftCell="C30" zoomScale="55" zoomScaleNormal="55" workbookViewId="0">
      <selection activeCell="K30" sqref="K1:K1048576"/>
    </sheetView>
  </sheetViews>
  <sheetFormatPr baseColWidth="10" defaultColWidth="11.42578125" defaultRowHeight="14.25" x14ac:dyDescent="0.2"/>
  <cols>
    <col min="1" max="1" width="13" style="3" customWidth="1"/>
    <col min="2" max="2" width="4" style="3" customWidth="1"/>
    <col min="3" max="3" width="18.5703125" style="3" customWidth="1"/>
    <col min="4" max="4" width="13.85546875" style="3" customWidth="1"/>
    <col min="5" max="5" width="7.42578125" style="3" customWidth="1"/>
    <col min="6" max="6" width="13.28515625" style="3" customWidth="1"/>
    <col min="7" max="7" width="14.140625" style="3" customWidth="1"/>
    <col min="8" max="8" width="7.85546875" style="3" customWidth="1"/>
    <col min="9" max="9" width="6.85546875" style="3" customWidth="1"/>
    <col min="10" max="10" width="9.28515625" style="3" customWidth="1"/>
    <col min="11" max="11" width="26.5703125" style="7" customWidth="1"/>
    <col min="12" max="12" width="16.7109375" style="3" customWidth="1"/>
    <col min="13" max="13" width="12.28515625" style="23" customWidth="1"/>
    <col min="14" max="14" width="12.28515625" style="681" customWidth="1"/>
    <col min="15" max="15" width="21.7109375" style="3" customWidth="1"/>
    <col min="16" max="16" width="14.28515625" style="3" customWidth="1"/>
    <col min="17" max="17" width="22.5703125" style="6" customWidth="1"/>
    <col min="18" max="18" width="16.85546875" style="414" customWidth="1"/>
    <col min="19" max="19" width="21.140625" style="31" customWidth="1"/>
    <col min="20" max="20" width="25.7109375" style="3" customWidth="1"/>
    <col min="21" max="21" width="31.5703125" style="3" customWidth="1"/>
    <col min="22" max="22" width="27.85546875" style="7" customWidth="1"/>
    <col min="23" max="23" width="25.85546875" style="682" customWidth="1"/>
    <col min="24" max="25" width="25.85546875" style="401" customWidth="1"/>
    <col min="26" max="26" width="13.7109375" style="8" customWidth="1"/>
    <col min="27" max="27" width="25.42578125" style="7" customWidth="1"/>
    <col min="28" max="28" width="10.42578125" style="4" customWidth="1"/>
    <col min="29" max="29" width="10.42578125" style="123" customWidth="1"/>
    <col min="30" max="30" width="10.42578125" style="4" customWidth="1"/>
    <col min="31" max="31" width="10.42578125" style="123" customWidth="1"/>
    <col min="32" max="32" width="10.42578125" style="4" customWidth="1"/>
    <col min="33" max="33" width="10.42578125" style="123" customWidth="1"/>
    <col min="34" max="34" width="10.42578125" style="4" customWidth="1"/>
    <col min="35" max="35" width="10.42578125" style="123" customWidth="1"/>
    <col min="36" max="36" width="10.42578125" style="4" customWidth="1"/>
    <col min="37" max="37" width="10.42578125" style="123" customWidth="1"/>
    <col min="38" max="38" width="10.42578125" style="4" customWidth="1"/>
    <col min="39" max="39" width="10.42578125" style="123" customWidth="1"/>
    <col min="40" max="40" width="10.42578125" style="4" customWidth="1"/>
    <col min="41" max="41" width="10.42578125" style="123" customWidth="1"/>
    <col min="42" max="42" width="10.42578125" style="4" customWidth="1"/>
    <col min="43" max="43" width="10.7109375" style="123" customWidth="1"/>
    <col min="44" max="44" width="11.5703125" style="4" customWidth="1"/>
    <col min="45" max="45" width="11.5703125" style="123" customWidth="1"/>
    <col min="46" max="46" width="10.42578125" style="4" customWidth="1"/>
    <col min="47" max="47" width="10.42578125" style="123" customWidth="1"/>
    <col min="48" max="48" width="13.28515625" style="4" customWidth="1"/>
    <col min="49" max="49" width="13.28515625" style="123" customWidth="1"/>
    <col min="50" max="50" width="13.5703125" style="4" customWidth="1"/>
    <col min="51" max="51" width="13.5703125" style="123" customWidth="1"/>
    <col min="52" max="52" width="22.42578125" style="632" customWidth="1"/>
    <col min="53" max="53" width="28.140625" style="632" customWidth="1"/>
    <col min="54" max="54" width="22.42578125" style="632" customWidth="1"/>
    <col min="55" max="56" width="19" style="632" customWidth="1"/>
    <col min="57" max="57" width="21.5703125" style="632" customWidth="1"/>
    <col min="58" max="58" width="22.7109375" style="21" customWidth="1"/>
    <col min="59" max="59" width="22.7109375" style="418" customWidth="1"/>
    <col min="60" max="60" width="22.7109375" style="22" customWidth="1"/>
    <col min="61" max="61" width="22.7109375" style="419" customWidth="1"/>
    <col min="62" max="62" width="28.7109375" style="197" customWidth="1"/>
    <col min="63" max="16384" width="11.42578125" style="20"/>
  </cols>
  <sheetData>
    <row r="1" spans="1:62" s="4" customFormat="1" ht="21" customHeight="1" x14ac:dyDescent="0.25">
      <c r="A1" s="3017" t="s">
        <v>671</v>
      </c>
      <c r="B1" s="3017"/>
      <c r="C1" s="3017"/>
      <c r="D1" s="3017"/>
      <c r="E1" s="3017"/>
      <c r="F1" s="3017"/>
      <c r="G1" s="3017"/>
      <c r="H1" s="3017"/>
      <c r="I1" s="3017"/>
      <c r="J1" s="3017"/>
      <c r="K1" s="3017"/>
      <c r="L1" s="3017"/>
      <c r="M1" s="3017"/>
      <c r="N1" s="3017"/>
      <c r="O1" s="3017"/>
      <c r="P1" s="3017"/>
      <c r="Q1" s="3017"/>
      <c r="R1" s="3017"/>
      <c r="S1" s="3017"/>
      <c r="T1" s="3017"/>
      <c r="U1" s="3017"/>
      <c r="V1" s="3017"/>
      <c r="W1" s="3017"/>
      <c r="X1" s="3017"/>
      <c r="Y1" s="3017"/>
      <c r="Z1" s="3017"/>
      <c r="AA1" s="3017"/>
      <c r="AB1" s="3017"/>
      <c r="AC1" s="3017"/>
      <c r="AD1" s="3017"/>
      <c r="AE1" s="3017"/>
      <c r="AF1" s="3017"/>
      <c r="AG1" s="3017"/>
      <c r="AH1" s="3017"/>
      <c r="AI1" s="3017"/>
      <c r="AJ1" s="3017"/>
      <c r="AK1" s="3017"/>
      <c r="AL1" s="3017"/>
      <c r="AM1" s="3017"/>
      <c r="AN1" s="3017"/>
      <c r="AO1" s="3017"/>
      <c r="AP1" s="3017"/>
      <c r="AQ1" s="3017"/>
      <c r="AR1" s="3017"/>
      <c r="AS1" s="3017"/>
      <c r="AT1" s="3017"/>
      <c r="AU1" s="3017"/>
      <c r="AV1" s="3017"/>
      <c r="AW1" s="3017"/>
      <c r="AX1" s="3017"/>
      <c r="AY1" s="3017"/>
      <c r="AZ1" s="3017"/>
      <c r="BA1" s="3017"/>
      <c r="BB1" s="3017"/>
      <c r="BC1" s="3017"/>
      <c r="BD1" s="3017"/>
      <c r="BE1" s="3017"/>
      <c r="BF1" s="3017"/>
      <c r="BG1" s="1892"/>
      <c r="BI1" s="1895" t="s">
        <v>1</v>
      </c>
      <c r="BJ1" s="1895" t="s">
        <v>2</v>
      </c>
    </row>
    <row r="2" spans="1:62" s="4" customFormat="1" ht="21" customHeight="1" x14ac:dyDescent="0.25">
      <c r="A2" s="3017"/>
      <c r="B2" s="3017"/>
      <c r="C2" s="3017"/>
      <c r="D2" s="3017"/>
      <c r="E2" s="3017"/>
      <c r="F2" s="3017"/>
      <c r="G2" s="3017"/>
      <c r="H2" s="3017"/>
      <c r="I2" s="3017"/>
      <c r="J2" s="3017"/>
      <c r="K2" s="3017"/>
      <c r="L2" s="3017"/>
      <c r="M2" s="3017"/>
      <c r="N2" s="3017"/>
      <c r="O2" s="3017"/>
      <c r="P2" s="3017"/>
      <c r="Q2" s="3017"/>
      <c r="R2" s="3017"/>
      <c r="S2" s="3017"/>
      <c r="T2" s="3017"/>
      <c r="U2" s="3017"/>
      <c r="V2" s="3017"/>
      <c r="W2" s="3017"/>
      <c r="X2" s="3017"/>
      <c r="Y2" s="3017"/>
      <c r="Z2" s="3017"/>
      <c r="AA2" s="3017"/>
      <c r="AB2" s="3017"/>
      <c r="AC2" s="3017"/>
      <c r="AD2" s="3017"/>
      <c r="AE2" s="3017"/>
      <c r="AF2" s="3017"/>
      <c r="AG2" s="3017"/>
      <c r="AH2" s="3017"/>
      <c r="AI2" s="3017"/>
      <c r="AJ2" s="3017"/>
      <c r="AK2" s="3017"/>
      <c r="AL2" s="3017"/>
      <c r="AM2" s="3017"/>
      <c r="AN2" s="3017"/>
      <c r="AO2" s="3017"/>
      <c r="AP2" s="3017"/>
      <c r="AQ2" s="3017"/>
      <c r="AR2" s="3017"/>
      <c r="AS2" s="3017"/>
      <c r="AT2" s="3017"/>
      <c r="AU2" s="3017"/>
      <c r="AV2" s="3017"/>
      <c r="AW2" s="3017"/>
      <c r="AX2" s="3017"/>
      <c r="AY2" s="3017"/>
      <c r="AZ2" s="3017"/>
      <c r="BA2" s="3017"/>
      <c r="BB2" s="3017"/>
      <c r="BC2" s="3017"/>
      <c r="BD2" s="3017"/>
      <c r="BE2" s="3017"/>
      <c r="BF2" s="3017"/>
      <c r="BG2" s="1892"/>
      <c r="BI2" s="1896" t="s">
        <v>3</v>
      </c>
      <c r="BJ2" s="1897">
        <v>5</v>
      </c>
    </row>
    <row r="3" spans="1:62" s="4" customFormat="1" ht="21" customHeight="1" x14ac:dyDescent="0.25">
      <c r="A3" s="3017"/>
      <c r="B3" s="3017"/>
      <c r="C3" s="3017"/>
      <c r="D3" s="3017"/>
      <c r="E3" s="3017"/>
      <c r="F3" s="3017"/>
      <c r="G3" s="3017"/>
      <c r="H3" s="3017"/>
      <c r="I3" s="3017"/>
      <c r="J3" s="3017"/>
      <c r="K3" s="3017"/>
      <c r="L3" s="3017"/>
      <c r="M3" s="3017"/>
      <c r="N3" s="3017"/>
      <c r="O3" s="3017"/>
      <c r="P3" s="3017"/>
      <c r="Q3" s="3017"/>
      <c r="R3" s="3017"/>
      <c r="S3" s="3017"/>
      <c r="T3" s="3017"/>
      <c r="U3" s="3017"/>
      <c r="V3" s="3017"/>
      <c r="W3" s="3017"/>
      <c r="X3" s="3017"/>
      <c r="Y3" s="3017"/>
      <c r="Z3" s="3017"/>
      <c r="AA3" s="3017"/>
      <c r="AB3" s="3017"/>
      <c r="AC3" s="3017"/>
      <c r="AD3" s="3017"/>
      <c r="AE3" s="3017"/>
      <c r="AF3" s="3017"/>
      <c r="AG3" s="3017"/>
      <c r="AH3" s="3017"/>
      <c r="AI3" s="3017"/>
      <c r="AJ3" s="3017"/>
      <c r="AK3" s="3017"/>
      <c r="AL3" s="3017"/>
      <c r="AM3" s="3017"/>
      <c r="AN3" s="3017"/>
      <c r="AO3" s="3017"/>
      <c r="AP3" s="3017"/>
      <c r="AQ3" s="3017"/>
      <c r="AR3" s="3017"/>
      <c r="AS3" s="3017"/>
      <c r="AT3" s="3017"/>
      <c r="AU3" s="3017"/>
      <c r="AV3" s="3017"/>
      <c r="AW3" s="3017"/>
      <c r="AX3" s="3017"/>
      <c r="AY3" s="3017"/>
      <c r="AZ3" s="3017"/>
      <c r="BA3" s="3017"/>
      <c r="BB3" s="3017"/>
      <c r="BC3" s="3017"/>
      <c r="BD3" s="3017"/>
      <c r="BE3" s="3017"/>
      <c r="BF3" s="3017"/>
      <c r="BG3" s="1892"/>
      <c r="BI3" s="1895" t="s">
        <v>4</v>
      </c>
      <c r="BJ3" s="1898" t="s">
        <v>335</v>
      </c>
    </row>
    <row r="4" spans="1:62" s="4" customFormat="1" ht="21" customHeight="1" x14ac:dyDescent="0.2">
      <c r="A4" s="3469"/>
      <c r="B4" s="3469"/>
      <c r="C4" s="3469"/>
      <c r="D4" s="3469"/>
      <c r="E4" s="3469"/>
      <c r="F4" s="3469"/>
      <c r="G4" s="3469"/>
      <c r="H4" s="3469"/>
      <c r="I4" s="3469"/>
      <c r="J4" s="3469"/>
      <c r="K4" s="3469"/>
      <c r="L4" s="3469"/>
      <c r="M4" s="3469"/>
      <c r="N4" s="3469"/>
      <c r="O4" s="3469"/>
      <c r="P4" s="3469"/>
      <c r="Q4" s="3469"/>
      <c r="R4" s="3469"/>
      <c r="S4" s="3469"/>
      <c r="T4" s="3469"/>
      <c r="U4" s="3469"/>
      <c r="V4" s="3469"/>
      <c r="W4" s="3469"/>
      <c r="X4" s="3469"/>
      <c r="Y4" s="3469"/>
      <c r="Z4" s="3469"/>
      <c r="AA4" s="3469"/>
      <c r="AB4" s="3469"/>
      <c r="AC4" s="3469"/>
      <c r="AD4" s="3469"/>
      <c r="AE4" s="3469"/>
      <c r="AF4" s="3469"/>
      <c r="AG4" s="3469"/>
      <c r="AH4" s="3469"/>
      <c r="AI4" s="3469"/>
      <c r="AJ4" s="3469"/>
      <c r="AK4" s="3469"/>
      <c r="AL4" s="3469"/>
      <c r="AM4" s="3469"/>
      <c r="AN4" s="3469"/>
      <c r="AO4" s="3469"/>
      <c r="AP4" s="3469"/>
      <c r="AQ4" s="3469"/>
      <c r="AR4" s="3469"/>
      <c r="AS4" s="3469"/>
      <c r="AT4" s="3469"/>
      <c r="AU4" s="3469"/>
      <c r="AV4" s="3469"/>
      <c r="AW4" s="3469"/>
      <c r="AX4" s="3469"/>
      <c r="AY4" s="3469"/>
      <c r="AZ4" s="3469"/>
      <c r="BA4" s="3469"/>
      <c r="BB4" s="3469"/>
      <c r="BC4" s="3469"/>
      <c r="BD4" s="3469"/>
      <c r="BE4" s="3469"/>
      <c r="BF4" s="3469"/>
      <c r="BG4" s="122"/>
      <c r="BI4" s="679" t="s">
        <v>6</v>
      </c>
      <c r="BJ4" s="1899" t="s">
        <v>7</v>
      </c>
    </row>
    <row r="5" spans="1:62"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2" s="4" customFormat="1" ht="14.45" customHeight="1" x14ac:dyDescent="0.2">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2" s="4" customFormat="1" ht="28.5" hidden="1" customHeight="1" x14ac:dyDescent="0.2">
      <c r="A7" s="2748" t="s">
        <v>11</v>
      </c>
      <c r="B7" s="2748" t="s">
        <v>12</v>
      </c>
      <c r="C7" s="2748"/>
      <c r="D7" s="2748" t="s">
        <v>11</v>
      </c>
      <c r="E7" s="2748" t="s">
        <v>13</v>
      </c>
      <c r="F7" s="2748"/>
      <c r="G7" s="2748" t="s">
        <v>11</v>
      </c>
      <c r="H7" s="2748" t="s">
        <v>14</v>
      </c>
      <c r="I7" s="2748"/>
      <c r="J7" s="2748" t="s">
        <v>11</v>
      </c>
      <c r="K7" s="4892" t="s">
        <v>15</v>
      </c>
      <c r="L7" s="2748" t="s">
        <v>16</v>
      </c>
      <c r="M7" s="2748" t="s">
        <v>17</v>
      </c>
      <c r="N7" s="2748"/>
      <c r="O7" s="2748" t="s">
        <v>18</v>
      </c>
      <c r="P7" s="2748" t="s">
        <v>11</v>
      </c>
      <c r="Q7" s="2748" t="s">
        <v>9</v>
      </c>
      <c r="R7" s="2748" t="s">
        <v>20</v>
      </c>
      <c r="S7" s="3470" t="s">
        <v>21</v>
      </c>
      <c r="T7" s="2748" t="s">
        <v>22</v>
      </c>
      <c r="U7" s="2748" t="s">
        <v>23</v>
      </c>
      <c r="V7" s="2748" t="s">
        <v>24</v>
      </c>
      <c r="W7" s="3470" t="s">
        <v>21</v>
      </c>
      <c r="X7" s="3470"/>
      <c r="Y7" s="3470"/>
      <c r="Z7" s="2751" t="s">
        <v>11</v>
      </c>
      <c r="AA7" s="2748" t="s">
        <v>25</v>
      </c>
      <c r="AB7" s="3467" t="s">
        <v>26</v>
      </c>
      <c r="AC7" s="3467"/>
      <c r="AD7" s="3467"/>
      <c r="AE7" s="3467"/>
      <c r="AF7" s="3467"/>
      <c r="AG7" s="3467"/>
      <c r="AH7" s="3467"/>
      <c r="AI7" s="3467"/>
      <c r="AJ7" s="3467"/>
      <c r="AK7" s="3467"/>
      <c r="AL7" s="3467"/>
      <c r="AM7" s="3467"/>
      <c r="AN7" s="3467" t="s">
        <v>27</v>
      </c>
      <c r="AO7" s="3467"/>
      <c r="AP7" s="3467"/>
      <c r="AQ7" s="3467"/>
      <c r="AR7" s="3467"/>
      <c r="AS7" s="3467"/>
      <c r="AT7" s="3467"/>
      <c r="AU7" s="3467"/>
      <c r="AV7" s="3467"/>
      <c r="AW7" s="3467"/>
      <c r="AX7" s="3467"/>
      <c r="AY7" s="3467"/>
      <c r="AZ7" s="3468" t="s">
        <v>28</v>
      </c>
      <c r="BA7" s="3468"/>
      <c r="BB7" s="3468"/>
      <c r="BC7" s="3468"/>
      <c r="BD7" s="3468"/>
      <c r="BE7" s="3468"/>
      <c r="BF7" s="3012" t="s">
        <v>29</v>
      </c>
      <c r="BG7" s="3012"/>
      <c r="BH7" s="3012" t="s">
        <v>30</v>
      </c>
      <c r="BI7" s="3012"/>
      <c r="BJ7" s="2751" t="s">
        <v>31</v>
      </c>
    </row>
    <row r="8" spans="1:62" s="4" customFormat="1" ht="28.5" hidden="1" customHeight="1" x14ac:dyDescent="0.2">
      <c r="A8" s="2748"/>
      <c r="B8" s="2748"/>
      <c r="C8" s="2748"/>
      <c r="D8" s="2748"/>
      <c r="E8" s="2748"/>
      <c r="F8" s="2748"/>
      <c r="G8" s="2748"/>
      <c r="H8" s="2748"/>
      <c r="I8" s="2748"/>
      <c r="J8" s="2748"/>
      <c r="K8" s="4892"/>
      <c r="L8" s="2748"/>
      <c r="M8" s="2748"/>
      <c r="N8" s="2748"/>
      <c r="O8" s="2748"/>
      <c r="P8" s="2748"/>
      <c r="Q8" s="2748"/>
      <c r="R8" s="2748"/>
      <c r="S8" s="3470"/>
      <c r="T8" s="2748"/>
      <c r="U8" s="2748"/>
      <c r="V8" s="2748"/>
      <c r="W8" s="3470"/>
      <c r="X8" s="3470"/>
      <c r="Y8" s="3470"/>
      <c r="Z8" s="2751"/>
      <c r="AA8" s="2748"/>
      <c r="AB8" s="2282"/>
      <c r="AC8" s="634"/>
      <c r="AD8" s="2282"/>
      <c r="AE8" s="634"/>
      <c r="AF8" s="2282"/>
      <c r="AG8" s="634"/>
      <c r="AH8" s="2282"/>
      <c r="AI8" s="634"/>
      <c r="AJ8" s="2282"/>
      <c r="AK8" s="634"/>
      <c r="AL8" s="2282"/>
      <c r="AM8" s="634"/>
      <c r="AN8" s="2282"/>
      <c r="AO8" s="634"/>
      <c r="AP8" s="2282"/>
      <c r="AQ8" s="634"/>
      <c r="AR8" s="2282"/>
      <c r="AS8" s="634"/>
      <c r="AT8" s="2282"/>
      <c r="AU8" s="634"/>
      <c r="AV8" s="2282"/>
      <c r="AW8" s="634"/>
      <c r="AX8" s="2282"/>
      <c r="AY8" s="634"/>
      <c r="AZ8" s="2283"/>
      <c r="BA8" s="2283"/>
      <c r="BB8" s="2283"/>
      <c r="BC8" s="2283"/>
      <c r="BD8" s="2283"/>
      <c r="BE8" s="2283"/>
      <c r="BF8" s="3012"/>
      <c r="BG8" s="3012"/>
      <c r="BH8" s="3012"/>
      <c r="BI8" s="3012"/>
      <c r="BJ8" s="2751"/>
    </row>
    <row r="9" spans="1:62" s="4" customFormat="1" ht="28.5" hidden="1" customHeight="1" x14ac:dyDescent="0.2">
      <c r="A9" s="2748"/>
      <c r="B9" s="2748"/>
      <c r="C9" s="2748"/>
      <c r="D9" s="2748"/>
      <c r="E9" s="2748"/>
      <c r="F9" s="2748"/>
      <c r="G9" s="2748"/>
      <c r="H9" s="2748"/>
      <c r="I9" s="2748"/>
      <c r="J9" s="2748"/>
      <c r="K9" s="4892"/>
      <c r="L9" s="2748"/>
      <c r="M9" s="2748"/>
      <c r="N9" s="2748"/>
      <c r="O9" s="2748"/>
      <c r="P9" s="2748"/>
      <c r="Q9" s="2748"/>
      <c r="R9" s="2748"/>
      <c r="S9" s="3470"/>
      <c r="T9" s="2748"/>
      <c r="U9" s="2748"/>
      <c r="V9" s="2748"/>
      <c r="W9" s="3470"/>
      <c r="X9" s="3470"/>
      <c r="Y9" s="3470"/>
      <c r="Z9" s="2751"/>
      <c r="AA9" s="2748"/>
      <c r="AB9" s="2282"/>
      <c r="AC9" s="634"/>
      <c r="AD9" s="2282"/>
      <c r="AE9" s="634"/>
      <c r="AF9" s="2282"/>
      <c r="AG9" s="634"/>
      <c r="AH9" s="2282"/>
      <c r="AI9" s="634"/>
      <c r="AJ9" s="2282"/>
      <c r="AK9" s="634"/>
      <c r="AL9" s="2282"/>
      <c r="AM9" s="634"/>
      <c r="AN9" s="2282"/>
      <c r="AO9" s="634"/>
      <c r="AP9" s="2282"/>
      <c r="AQ9" s="634"/>
      <c r="AR9" s="2282"/>
      <c r="AS9" s="634"/>
      <c r="AT9" s="2282"/>
      <c r="AU9" s="634"/>
      <c r="AV9" s="2282"/>
      <c r="AW9" s="634"/>
      <c r="AX9" s="2282"/>
      <c r="AY9" s="634"/>
      <c r="AZ9" s="2283"/>
      <c r="BA9" s="2283"/>
      <c r="BB9" s="2283"/>
      <c r="BC9" s="2283"/>
      <c r="BD9" s="2283"/>
      <c r="BE9" s="2283"/>
      <c r="BF9" s="3012"/>
      <c r="BG9" s="3012"/>
      <c r="BH9" s="3012"/>
      <c r="BI9" s="3012"/>
      <c r="BJ9" s="2751"/>
    </row>
    <row r="10" spans="1:62" s="4" customFormat="1" ht="28.5" hidden="1" customHeight="1" x14ac:dyDescent="0.2">
      <c r="A10" s="2748"/>
      <c r="B10" s="2748"/>
      <c r="C10" s="2748"/>
      <c r="D10" s="2748"/>
      <c r="E10" s="2748"/>
      <c r="F10" s="2748"/>
      <c r="G10" s="2748"/>
      <c r="H10" s="2748"/>
      <c r="I10" s="2748"/>
      <c r="J10" s="2748"/>
      <c r="K10" s="4892"/>
      <c r="L10" s="2748"/>
      <c r="M10" s="2748"/>
      <c r="N10" s="2748"/>
      <c r="O10" s="2748"/>
      <c r="P10" s="2748"/>
      <c r="Q10" s="2748"/>
      <c r="R10" s="2748"/>
      <c r="S10" s="3470"/>
      <c r="T10" s="2748"/>
      <c r="U10" s="2748"/>
      <c r="V10" s="2748"/>
      <c r="W10" s="3470"/>
      <c r="X10" s="3470"/>
      <c r="Y10" s="3470"/>
      <c r="Z10" s="2751"/>
      <c r="AA10" s="2748"/>
      <c r="AB10" s="2282"/>
      <c r="AC10" s="634"/>
      <c r="AD10" s="2282"/>
      <c r="AE10" s="634"/>
      <c r="AF10" s="2282"/>
      <c r="AG10" s="634"/>
      <c r="AH10" s="2282"/>
      <c r="AI10" s="634"/>
      <c r="AJ10" s="2282"/>
      <c r="AK10" s="634"/>
      <c r="AL10" s="2282"/>
      <c r="AM10" s="634"/>
      <c r="AN10" s="2282"/>
      <c r="AO10" s="634"/>
      <c r="AP10" s="2282"/>
      <c r="AQ10" s="634"/>
      <c r="AR10" s="2282"/>
      <c r="AS10" s="634"/>
      <c r="AT10" s="2282"/>
      <c r="AU10" s="634"/>
      <c r="AV10" s="2282"/>
      <c r="AW10" s="634"/>
      <c r="AX10" s="2282"/>
      <c r="AY10" s="634"/>
      <c r="AZ10" s="2283"/>
      <c r="BA10" s="2283"/>
      <c r="BB10" s="2283"/>
      <c r="BC10" s="2283"/>
      <c r="BD10" s="2283"/>
      <c r="BE10" s="2283"/>
      <c r="BF10" s="3012"/>
      <c r="BG10" s="3012"/>
      <c r="BH10" s="3012"/>
      <c r="BI10" s="3012"/>
      <c r="BJ10" s="2751"/>
    </row>
    <row r="11" spans="1:62" s="4" customFormat="1" ht="28.5" hidden="1" customHeight="1" x14ac:dyDescent="0.2">
      <c r="A11" s="2748"/>
      <c r="B11" s="2748"/>
      <c r="C11" s="2748"/>
      <c r="D11" s="2748"/>
      <c r="E11" s="2748"/>
      <c r="F11" s="2748"/>
      <c r="G11" s="2748"/>
      <c r="H11" s="2748"/>
      <c r="I11" s="2748"/>
      <c r="J11" s="2748"/>
      <c r="K11" s="4892"/>
      <c r="L11" s="2748"/>
      <c r="M11" s="2748"/>
      <c r="N11" s="2748"/>
      <c r="O11" s="2748"/>
      <c r="P11" s="2748"/>
      <c r="Q11" s="2748"/>
      <c r="R11" s="2748"/>
      <c r="S11" s="3470"/>
      <c r="T11" s="2748"/>
      <c r="U11" s="2748"/>
      <c r="V11" s="2748"/>
      <c r="W11" s="3470"/>
      <c r="X11" s="3470"/>
      <c r="Y11" s="3470"/>
      <c r="Z11" s="2751"/>
      <c r="AA11" s="2748"/>
      <c r="AB11" s="2282"/>
      <c r="AC11" s="634"/>
      <c r="AD11" s="2282"/>
      <c r="AE11" s="634"/>
      <c r="AF11" s="2282"/>
      <c r="AG11" s="634"/>
      <c r="AH11" s="2282"/>
      <c r="AI11" s="634"/>
      <c r="AJ11" s="2282"/>
      <c r="AK11" s="634"/>
      <c r="AL11" s="2282"/>
      <c r="AM11" s="634"/>
      <c r="AN11" s="2282"/>
      <c r="AO11" s="634"/>
      <c r="AP11" s="2282"/>
      <c r="AQ11" s="634"/>
      <c r="AR11" s="2282"/>
      <c r="AS11" s="634"/>
      <c r="AT11" s="2282"/>
      <c r="AU11" s="634"/>
      <c r="AV11" s="2282"/>
      <c r="AW11" s="634"/>
      <c r="AX11" s="2282"/>
      <c r="AY11" s="634"/>
      <c r="AZ11" s="2283"/>
      <c r="BA11" s="2283"/>
      <c r="BB11" s="2283"/>
      <c r="BC11" s="2283"/>
      <c r="BD11" s="2283"/>
      <c r="BE11" s="2283"/>
      <c r="BF11" s="3012"/>
      <c r="BG11" s="3012"/>
      <c r="BH11" s="3012"/>
      <c r="BI11" s="3012"/>
      <c r="BJ11" s="2751"/>
    </row>
    <row r="12" spans="1:62" s="4" customFormat="1" ht="28.5" customHeight="1" x14ac:dyDescent="0.2">
      <c r="A12" s="2748"/>
      <c r="B12" s="2748"/>
      <c r="C12" s="2748"/>
      <c r="D12" s="2748"/>
      <c r="E12" s="2748"/>
      <c r="F12" s="2748"/>
      <c r="G12" s="2748"/>
      <c r="H12" s="2748"/>
      <c r="I12" s="2748"/>
      <c r="J12" s="2748"/>
      <c r="K12" s="4892"/>
      <c r="L12" s="2748"/>
      <c r="M12" s="2748"/>
      <c r="N12" s="2748"/>
      <c r="O12" s="2748"/>
      <c r="P12" s="2748"/>
      <c r="Q12" s="2748"/>
      <c r="R12" s="2748"/>
      <c r="S12" s="3470"/>
      <c r="T12" s="2748"/>
      <c r="U12" s="2748"/>
      <c r="V12" s="2748"/>
      <c r="W12" s="3470"/>
      <c r="X12" s="3470"/>
      <c r="Y12" s="3470"/>
      <c r="Z12" s="2751"/>
      <c r="AA12" s="2748"/>
      <c r="AB12" s="2282"/>
      <c r="AC12" s="634"/>
      <c r="AD12" s="2282"/>
      <c r="AE12" s="634"/>
      <c r="AF12" s="2282"/>
      <c r="AG12" s="634"/>
      <c r="AH12" s="2282"/>
      <c r="AI12" s="634"/>
      <c r="AJ12" s="2282"/>
      <c r="AK12" s="634"/>
      <c r="AL12" s="2282"/>
      <c r="AM12" s="634"/>
      <c r="AN12" s="2282"/>
      <c r="AO12" s="634"/>
      <c r="AP12" s="2282"/>
      <c r="AQ12" s="634"/>
      <c r="AR12" s="2282"/>
      <c r="AS12" s="634"/>
      <c r="AT12" s="2282"/>
      <c r="AU12" s="634"/>
      <c r="AV12" s="2282"/>
      <c r="AW12" s="634"/>
      <c r="AX12" s="2282"/>
      <c r="AY12" s="634"/>
      <c r="AZ12" s="2283"/>
      <c r="BA12" s="2283"/>
      <c r="BB12" s="2283"/>
      <c r="BC12" s="2283"/>
      <c r="BD12" s="2283"/>
      <c r="BE12" s="2283"/>
      <c r="BF12" s="3012"/>
      <c r="BG12" s="3012"/>
      <c r="BH12" s="3012"/>
      <c r="BI12" s="3012"/>
      <c r="BJ12" s="2751"/>
    </row>
    <row r="13" spans="1:62" s="4" customFormat="1" ht="67.5" customHeight="1" x14ac:dyDescent="0.2">
      <c r="A13" s="2748"/>
      <c r="B13" s="2748"/>
      <c r="C13" s="2748"/>
      <c r="D13" s="2748"/>
      <c r="E13" s="2748"/>
      <c r="F13" s="2748"/>
      <c r="G13" s="2748"/>
      <c r="H13" s="2748"/>
      <c r="I13" s="2748"/>
      <c r="J13" s="2748"/>
      <c r="K13" s="4892"/>
      <c r="L13" s="2748"/>
      <c r="M13" s="2748"/>
      <c r="N13" s="2748"/>
      <c r="O13" s="2748"/>
      <c r="P13" s="2748"/>
      <c r="Q13" s="2748"/>
      <c r="R13" s="2748"/>
      <c r="S13" s="3470"/>
      <c r="T13" s="2748"/>
      <c r="U13" s="2748"/>
      <c r="V13" s="2748"/>
      <c r="W13" s="3470"/>
      <c r="X13" s="3470"/>
      <c r="Y13" s="3470"/>
      <c r="Z13" s="2751"/>
      <c r="AA13" s="2748"/>
      <c r="AB13" s="2748" t="s">
        <v>32</v>
      </c>
      <c r="AC13" s="2748"/>
      <c r="AD13" s="3466" t="s">
        <v>33</v>
      </c>
      <c r="AE13" s="3466"/>
      <c r="AF13" s="2748" t="s">
        <v>34</v>
      </c>
      <c r="AG13" s="2748"/>
      <c r="AH13" s="2748" t="s">
        <v>35</v>
      </c>
      <c r="AI13" s="2748"/>
      <c r="AJ13" s="2748" t="s">
        <v>36</v>
      </c>
      <c r="AK13" s="2748"/>
      <c r="AL13" s="2748" t="s">
        <v>37</v>
      </c>
      <c r="AM13" s="2748"/>
      <c r="AN13" s="2748" t="s">
        <v>38</v>
      </c>
      <c r="AO13" s="2748"/>
      <c r="AP13" s="2748" t="s">
        <v>39</v>
      </c>
      <c r="AQ13" s="2748"/>
      <c r="AR13" s="2748" t="s">
        <v>40</v>
      </c>
      <c r="AS13" s="2748"/>
      <c r="AT13" s="2748" t="s">
        <v>41</v>
      </c>
      <c r="AU13" s="2748"/>
      <c r="AV13" s="2748" t="s">
        <v>42</v>
      </c>
      <c r="AW13" s="2748"/>
      <c r="AX13" s="2748" t="s">
        <v>43</v>
      </c>
      <c r="AY13" s="2748"/>
      <c r="AZ13" s="2726" t="s">
        <v>44</v>
      </c>
      <c r="BA13" s="2727" t="s">
        <v>45</v>
      </c>
      <c r="BB13" s="2726" t="s">
        <v>46</v>
      </c>
      <c r="BC13" s="2728" t="s">
        <v>47</v>
      </c>
      <c r="BD13" s="2726" t="s">
        <v>48</v>
      </c>
      <c r="BE13" s="2726" t="s">
        <v>49</v>
      </c>
      <c r="BF13" s="3012"/>
      <c r="BG13" s="3012"/>
      <c r="BH13" s="3012"/>
      <c r="BI13" s="3012"/>
      <c r="BJ13" s="2751"/>
    </row>
    <row r="14" spans="1:62" s="4" customFormat="1" ht="34.5" customHeight="1" x14ac:dyDescent="0.2">
      <c r="A14" s="2748"/>
      <c r="B14" s="2748"/>
      <c r="C14" s="2748"/>
      <c r="D14" s="2748"/>
      <c r="E14" s="2748"/>
      <c r="F14" s="2748"/>
      <c r="G14" s="2748"/>
      <c r="H14" s="2748"/>
      <c r="I14" s="2748"/>
      <c r="J14" s="2748"/>
      <c r="K14" s="4892"/>
      <c r="L14" s="2748"/>
      <c r="M14" s="2081" t="s">
        <v>50</v>
      </c>
      <c r="N14" s="91" t="s">
        <v>51</v>
      </c>
      <c r="O14" s="2748"/>
      <c r="P14" s="2748"/>
      <c r="Q14" s="2748"/>
      <c r="R14" s="2748"/>
      <c r="S14" s="3470"/>
      <c r="T14" s="2748"/>
      <c r="U14" s="2748"/>
      <c r="V14" s="2748"/>
      <c r="W14" s="2081" t="s">
        <v>52</v>
      </c>
      <c r="X14" s="91" t="s">
        <v>53</v>
      </c>
      <c r="Y14" s="91" t="s">
        <v>54</v>
      </c>
      <c r="Z14" s="2751"/>
      <c r="AA14" s="2748"/>
      <c r="AB14" s="2281" t="s">
        <v>50</v>
      </c>
      <c r="AC14" s="505" t="s">
        <v>51</v>
      </c>
      <c r="AD14" s="2281" t="s">
        <v>50</v>
      </c>
      <c r="AE14" s="505" t="s">
        <v>51</v>
      </c>
      <c r="AF14" s="2281" t="s">
        <v>50</v>
      </c>
      <c r="AG14" s="505" t="s">
        <v>51</v>
      </c>
      <c r="AH14" s="2281" t="s">
        <v>50</v>
      </c>
      <c r="AI14" s="505" t="s">
        <v>51</v>
      </c>
      <c r="AJ14" s="2281" t="s">
        <v>50</v>
      </c>
      <c r="AK14" s="505" t="s">
        <v>51</v>
      </c>
      <c r="AL14" s="2281" t="s">
        <v>50</v>
      </c>
      <c r="AM14" s="505" t="s">
        <v>51</v>
      </c>
      <c r="AN14" s="2281" t="s">
        <v>50</v>
      </c>
      <c r="AO14" s="505" t="s">
        <v>51</v>
      </c>
      <c r="AP14" s="2281" t="s">
        <v>50</v>
      </c>
      <c r="AQ14" s="505" t="s">
        <v>51</v>
      </c>
      <c r="AR14" s="2281" t="s">
        <v>50</v>
      </c>
      <c r="AS14" s="505" t="s">
        <v>51</v>
      </c>
      <c r="AT14" s="2281" t="s">
        <v>50</v>
      </c>
      <c r="AU14" s="505" t="s">
        <v>51</v>
      </c>
      <c r="AV14" s="2281" t="s">
        <v>50</v>
      </c>
      <c r="AW14" s="505" t="s">
        <v>51</v>
      </c>
      <c r="AX14" s="2281" t="s">
        <v>50</v>
      </c>
      <c r="AY14" s="505" t="s">
        <v>51</v>
      </c>
      <c r="AZ14" s="2726"/>
      <c r="BA14" s="2727"/>
      <c r="BB14" s="2726"/>
      <c r="BC14" s="2728"/>
      <c r="BD14" s="2726"/>
      <c r="BE14" s="2726"/>
      <c r="BF14" s="2188" t="s">
        <v>50</v>
      </c>
      <c r="BG14" s="116" t="s">
        <v>51</v>
      </c>
      <c r="BH14" s="2188" t="s">
        <v>50</v>
      </c>
      <c r="BI14" s="116" t="s">
        <v>51</v>
      </c>
      <c r="BJ14" s="2751"/>
    </row>
    <row r="15" spans="1:62" s="631" customFormat="1" ht="15" x14ac:dyDescent="0.2">
      <c r="A15" s="635" t="s">
        <v>672</v>
      </c>
      <c r="B15" s="60" t="s">
        <v>673</v>
      </c>
      <c r="C15" s="636"/>
      <c r="D15" s="60"/>
      <c r="E15" s="60"/>
      <c r="F15" s="60"/>
      <c r="G15" s="60"/>
      <c r="H15" s="60"/>
      <c r="I15" s="60"/>
      <c r="J15" s="60"/>
      <c r="K15" s="61"/>
      <c r="L15" s="60"/>
      <c r="M15" s="60"/>
      <c r="N15" s="156"/>
      <c r="O15" s="60"/>
      <c r="P15" s="60"/>
      <c r="Q15" s="61"/>
      <c r="R15" s="60"/>
      <c r="S15" s="60"/>
      <c r="T15" s="61"/>
      <c r="U15" s="61"/>
      <c r="V15" s="61"/>
      <c r="W15" s="637"/>
      <c r="X15" s="638"/>
      <c r="Y15" s="638"/>
      <c r="Z15" s="639"/>
      <c r="AA15" s="637"/>
      <c r="AB15" s="60"/>
      <c r="AC15" s="156"/>
      <c r="AD15" s="60"/>
      <c r="AE15" s="156"/>
      <c r="AF15" s="60"/>
      <c r="AG15" s="156"/>
      <c r="AH15" s="60"/>
      <c r="AI15" s="156"/>
      <c r="AJ15" s="60"/>
      <c r="AK15" s="156"/>
      <c r="AL15" s="60"/>
      <c r="AM15" s="156"/>
      <c r="AN15" s="60"/>
      <c r="AO15" s="156"/>
      <c r="AP15" s="60"/>
      <c r="AQ15" s="156"/>
      <c r="AR15" s="60"/>
      <c r="AS15" s="156"/>
      <c r="AT15" s="60"/>
      <c r="AU15" s="156"/>
      <c r="AV15" s="60"/>
      <c r="AW15" s="156"/>
      <c r="AX15" s="60"/>
      <c r="AY15" s="156"/>
      <c r="AZ15" s="60"/>
      <c r="BA15" s="60"/>
      <c r="BB15" s="60"/>
      <c r="BC15" s="60"/>
      <c r="BD15" s="60"/>
      <c r="BE15" s="60"/>
      <c r="BF15" s="637"/>
      <c r="BG15" s="638"/>
      <c r="BH15" s="637"/>
      <c r="BI15" s="638"/>
      <c r="BJ15" s="640"/>
    </row>
    <row r="16" spans="1:62" s="2" customFormat="1" ht="15" x14ac:dyDescent="0.2">
      <c r="A16" s="3412" t="s">
        <v>674</v>
      </c>
      <c r="B16" s="3413"/>
      <c r="C16" s="3414"/>
      <c r="D16" s="57" t="s">
        <v>675</v>
      </c>
      <c r="E16" s="58" t="s">
        <v>676</v>
      </c>
      <c r="F16" s="47"/>
      <c r="G16" s="47"/>
      <c r="H16" s="47"/>
      <c r="I16" s="47"/>
      <c r="J16" s="47"/>
      <c r="K16" s="48"/>
      <c r="L16" s="47"/>
      <c r="M16" s="47"/>
      <c r="N16" s="157"/>
      <c r="O16" s="47"/>
      <c r="P16" s="47"/>
      <c r="Q16" s="48"/>
      <c r="R16" s="47"/>
      <c r="S16" s="47"/>
      <c r="T16" s="48"/>
      <c r="U16" s="48"/>
      <c r="V16" s="48"/>
      <c r="W16" s="49"/>
      <c r="X16" s="641"/>
      <c r="Y16" s="641"/>
      <c r="Z16" s="642"/>
      <c r="AA16" s="49"/>
      <c r="AB16" s="47"/>
      <c r="AC16" s="157"/>
      <c r="AD16" s="47"/>
      <c r="AE16" s="157"/>
      <c r="AF16" s="47"/>
      <c r="AG16" s="157"/>
      <c r="AH16" s="47"/>
      <c r="AI16" s="157"/>
      <c r="AJ16" s="47"/>
      <c r="AK16" s="157"/>
      <c r="AL16" s="47"/>
      <c r="AM16" s="157"/>
      <c r="AN16" s="47"/>
      <c r="AO16" s="157"/>
      <c r="AP16" s="47"/>
      <c r="AQ16" s="157"/>
      <c r="AR16" s="47"/>
      <c r="AS16" s="157"/>
      <c r="AT16" s="47"/>
      <c r="AU16" s="157"/>
      <c r="AV16" s="47"/>
      <c r="AW16" s="157"/>
      <c r="AX16" s="47"/>
      <c r="AY16" s="157"/>
      <c r="AZ16" s="47"/>
      <c r="BA16" s="47"/>
      <c r="BB16" s="47"/>
      <c r="BC16" s="47"/>
      <c r="BD16" s="47"/>
      <c r="BE16" s="47"/>
      <c r="BF16" s="49"/>
      <c r="BG16" s="641"/>
      <c r="BH16" s="49"/>
      <c r="BI16" s="641"/>
      <c r="BJ16" s="59"/>
    </row>
    <row r="17" spans="1:62" s="2" customFormat="1" ht="15" x14ac:dyDescent="0.2">
      <c r="A17" s="3415"/>
      <c r="B17" s="3416"/>
      <c r="C17" s="3417"/>
      <c r="D17" s="3412" t="s">
        <v>197</v>
      </c>
      <c r="E17" s="3413"/>
      <c r="F17" s="3414"/>
      <c r="G17" s="698" t="s">
        <v>677</v>
      </c>
      <c r="H17" s="51" t="s">
        <v>678</v>
      </c>
      <c r="I17" s="51"/>
      <c r="J17" s="50"/>
      <c r="K17" s="412"/>
      <c r="L17" s="50"/>
      <c r="M17" s="50"/>
      <c r="N17" s="411"/>
      <c r="O17" s="50"/>
      <c r="P17" s="50"/>
      <c r="Q17" s="412"/>
      <c r="R17" s="50"/>
      <c r="S17" s="50"/>
      <c r="T17" s="412"/>
      <c r="U17" s="412"/>
      <c r="V17" s="412"/>
      <c r="W17" s="2520"/>
      <c r="X17" s="643"/>
      <c r="Y17" s="643"/>
      <c r="Z17" s="644"/>
      <c r="AA17" s="2520"/>
      <c r="AB17" s="50"/>
      <c r="AC17" s="411"/>
      <c r="AD17" s="50"/>
      <c r="AE17" s="411"/>
      <c r="AF17" s="50"/>
      <c r="AG17" s="411"/>
      <c r="AH17" s="50"/>
      <c r="AI17" s="411"/>
      <c r="AJ17" s="50"/>
      <c r="AK17" s="411"/>
      <c r="AL17" s="50"/>
      <c r="AM17" s="411"/>
      <c r="AN17" s="50"/>
      <c r="AO17" s="411"/>
      <c r="AP17" s="50"/>
      <c r="AQ17" s="411"/>
      <c r="AR17" s="50"/>
      <c r="AS17" s="411"/>
      <c r="AT17" s="50"/>
      <c r="AU17" s="411"/>
      <c r="AV17" s="50"/>
      <c r="AW17" s="411"/>
      <c r="AX17" s="50"/>
      <c r="AY17" s="411"/>
      <c r="AZ17" s="50"/>
      <c r="BA17" s="50"/>
      <c r="BB17" s="50"/>
      <c r="BC17" s="50"/>
      <c r="BD17" s="50"/>
      <c r="BE17" s="50"/>
      <c r="BF17" s="2520"/>
      <c r="BG17" s="643"/>
      <c r="BH17" s="2520"/>
      <c r="BI17" s="643"/>
      <c r="BJ17" s="645"/>
    </row>
    <row r="18" spans="1:62" s="3" customFormat="1" ht="52.5" customHeight="1" x14ac:dyDescent="0.2">
      <c r="A18" s="3415"/>
      <c r="B18" s="3416"/>
      <c r="C18" s="3417"/>
      <c r="D18" s="3415"/>
      <c r="E18" s="3416"/>
      <c r="F18" s="3417"/>
      <c r="G18" s="3412" t="s">
        <v>197</v>
      </c>
      <c r="H18" s="3413"/>
      <c r="I18" s="3414"/>
      <c r="J18" s="3455">
        <v>114</v>
      </c>
      <c r="K18" s="2988" t="s">
        <v>679</v>
      </c>
      <c r="L18" s="2636" t="s">
        <v>680</v>
      </c>
      <c r="M18" s="3461">
        <v>30</v>
      </c>
      <c r="N18" s="3433">
        <v>14</v>
      </c>
      <c r="O18" s="2636" t="s">
        <v>681</v>
      </c>
      <c r="P18" s="2636">
        <v>43</v>
      </c>
      <c r="Q18" s="2636" t="s">
        <v>682</v>
      </c>
      <c r="R18" s="2304">
        <f>W18/S18</f>
        <v>0.15276971493171193</v>
      </c>
      <c r="S18" s="3462">
        <v>130916000</v>
      </c>
      <c r="T18" s="2668" t="s">
        <v>683</v>
      </c>
      <c r="U18" s="2196" t="s">
        <v>684</v>
      </c>
      <c r="V18" s="2196" t="s">
        <v>685</v>
      </c>
      <c r="W18" s="2476">
        <v>20000000</v>
      </c>
      <c r="X18" s="2127">
        <v>20000000</v>
      </c>
      <c r="Y18" s="2127">
        <v>20000000</v>
      </c>
      <c r="Z18" s="2635">
        <v>20</v>
      </c>
      <c r="AA18" s="2583" t="s">
        <v>686</v>
      </c>
      <c r="AB18" s="3460">
        <v>64149</v>
      </c>
      <c r="AC18" s="3459">
        <v>200</v>
      </c>
      <c r="AD18" s="3460">
        <v>72224</v>
      </c>
      <c r="AE18" s="3459">
        <v>2340</v>
      </c>
      <c r="AF18" s="3460">
        <v>27477</v>
      </c>
      <c r="AG18" s="3459">
        <v>5780</v>
      </c>
      <c r="AH18" s="3460">
        <v>86843</v>
      </c>
      <c r="AI18" s="3459">
        <v>9723</v>
      </c>
      <c r="AJ18" s="3460">
        <v>236429</v>
      </c>
      <c r="AK18" s="3459">
        <v>4846</v>
      </c>
      <c r="AL18" s="3460"/>
      <c r="AM18" s="3459">
        <v>653</v>
      </c>
      <c r="AN18" s="3460">
        <v>13208</v>
      </c>
      <c r="AO18" s="3459">
        <v>20</v>
      </c>
      <c r="AP18" s="3460">
        <v>1817</v>
      </c>
      <c r="AQ18" s="3459"/>
      <c r="AR18" s="3460">
        <v>520</v>
      </c>
      <c r="AS18" s="3459"/>
      <c r="AT18" s="3460"/>
      <c r="AU18" s="3459"/>
      <c r="AV18" s="3460">
        <v>16897</v>
      </c>
      <c r="AW18" s="3459">
        <v>150</v>
      </c>
      <c r="AX18" s="3460"/>
      <c r="AY18" s="3459">
        <v>653</v>
      </c>
      <c r="AZ18" s="2878">
        <v>8</v>
      </c>
      <c r="BA18" s="3435">
        <f>16000000+5666000+16000000+20000000+20000000+27000000+6250000+20000000</f>
        <v>130916000</v>
      </c>
      <c r="BB18" s="3435">
        <f>16000000+5666000+16000000+20000000+20000000+27000000+6250000+20000000</f>
        <v>130916000</v>
      </c>
      <c r="BC18" s="2620">
        <f>BB18/BA18</f>
        <v>1</v>
      </c>
      <c r="BD18" s="2593" t="s">
        <v>165</v>
      </c>
      <c r="BE18" s="2593" t="s">
        <v>687</v>
      </c>
      <c r="BF18" s="2593">
        <v>42583</v>
      </c>
      <c r="BG18" s="2613">
        <v>42422</v>
      </c>
      <c r="BH18" s="2593">
        <v>42735</v>
      </c>
      <c r="BI18" s="2613">
        <v>42612</v>
      </c>
      <c r="BJ18" s="3435" t="s">
        <v>688</v>
      </c>
    </row>
    <row r="19" spans="1:62" s="3" customFormat="1" ht="49.5" customHeight="1" x14ac:dyDescent="0.2">
      <c r="A19" s="3415"/>
      <c r="B19" s="3416"/>
      <c r="C19" s="3417"/>
      <c r="D19" s="3415"/>
      <c r="E19" s="3416"/>
      <c r="F19" s="3417"/>
      <c r="G19" s="3415"/>
      <c r="H19" s="3416"/>
      <c r="I19" s="3417"/>
      <c r="J19" s="3455"/>
      <c r="K19" s="2604"/>
      <c r="L19" s="2626"/>
      <c r="M19" s="3447"/>
      <c r="N19" s="3443"/>
      <c r="O19" s="2626"/>
      <c r="P19" s="2626"/>
      <c r="Q19" s="2626"/>
      <c r="R19" s="2291">
        <f>W19/S18</f>
        <v>9.1020196156313973E-2</v>
      </c>
      <c r="S19" s="2621"/>
      <c r="T19" s="2677"/>
      <c r="U19" s="2129" t="s">
        <v>689</v>
      </c>
      <c r="V19" s="2129" t="s">
        <v>690</v>
      </c>
      <c r="W19" s="2292">
        <v>11916000</v>
      </c>
      <c r="X19" s="3456">
        <f>6250000+5666000+16000000+20000000+20000000+16000000+27000000</f>
        <v>110916000</v>
      </c>
      <c r="Y19" s="3456">
        <f>6250000+5666000+16000000+20000000+20000000+16000000+27000000</f>
        <v>110916000</v>
      </c>
      <c r="Z19" s="2678"/>
      <c r="AA19" s="2683"/>
      <c r="AB19" s="3452"/>
      <c r="AC19" s="3405"/>
      <c r="AD19" s="3452"/>
      <c r="AE19" s="3405"/>
      <c r="AF19" s="3452"/>
      <c r="AG19" s="3405"/>
      <c r="AH19" s="3452"/>
      <c r="AI19" s="3405"/>
      <c r="AJ19" s="3452"/>
      <c r="AK19" s="3405"/>
      <c r="AL19" s="3452"/>
      <c r="AM19" s="3405"/>
      <c r="AN19" s="3452"/>
      <c r="AO19" s="3405"/>
      <c r="AP19" s="3452"/>
      <c r="AQ19" s="3405"/>
      <c r="AR19" s="3452"/>
      <c r="AS19" s="3405"/>
      <c r="AT19" s="3452"/>
      <c r="AU19" s="3405"/>
      <c r="AV19" s="3452"/>
      <c r="AW19" s="3405"/>
      <c r="AX19" s="3452"/>
      <c r="AY19" s="3405"/>
      <c r="AZ19" s="2879"/>
      <c r="BA19" s="3401"/>
      <c r="BB19" s="3401"/>
      <c r="BC19" s="2966"/>
      <c r="BD19" s="2594"/>
      <c r="BE19" s="2594"/>
      <c r="BF19" s="2594"/>
      <c r="BG19" s="2614"/>
      <c r="BH19" s="2594"/>
      <c r="BI19" s="2614"/>
      <c r="BJ19" s="3401"/>
    </row>
    <row r="20" spans="1:62" s="3" customFormat="1" ht="72.75" customHeight="1" x14ac:dyDescent="0.2">
      <c r="A20" s="3415"/>
      <c r="B20" s="3416"/>
      <c r="C20" s="3417"/>
      <c r="D20" s="3415"/>
      <c r="E20" s="3416"/>
      <c r="F20" s="3417"/>
      <c r="G20" s="3415"/>
      <c r="H20" s="3416"/>
      <c r="I20" s="3417"/>
      <c r="J20" s="3455"/>
      <c r="K20" s="2604"/>
      <c r="L20" s="2626"/>
      <c r="M20" s="3447"/>
      <c r="N20" s="3443"/>
      <c r="O20" s="2626"/>
      <c r="P20" s="2626"/>
      <c r="Q20" s="2626"/>
      <c r="R20" s="3434">
        <f>W20/S18</f>
        <v>0.75621008891197405</v>
      </c>
      <c r="S20" s="2621"/>
      <c r="T20" s="2677"/>
      <c r="U20" s="2626" t="s">
        <v>691</v>
      </c>
      <c r="V20" s="2626" t="s">
        <v>692</v>
      </c>
      <c r="W20" s="3453">
        <v>99000000</v>
      </c>
      <c r="X20" s="3457"/>
      <c r="Y20" s="3457"/>
      <c r="Z20" s="2678"/>
      <c r="AA20" s="2683"/>
      <c r="AB20" s="3452"/>
      <c r="AC20" s="3405"/>
      <c r="AD20" s="3452"/>
      <c r="AE20" s="3405"/>
      <c r="AF20" s="3452"/>
      <c r="AG20" s="3405"/>
      <c r="AH20" s="3452"/>
      <c r="AI20" s="3405"/>
      <c r="AJ20" s="3452"/>
      <c r="AK20" s="3405"/>
      <c r="AL20" s="3452"/>
      <c r="AM20" s="3405"/>
      <c r="AN20" s="3452"/>
      <c r="AO20" s="3405"/>
      <c r="AP20" s="3452"/>
      <c r="AQ20" s="3405"/>
      <c r="AR20" s="3452"/>
      <c r="AS20" s="3405"/>
      <c r="AT20" s="3452"/>
      <c r="AU20" s="3405"/>
      <c r="AV20" s="3452"/>
      <c r="AW20" s="3405"/>
      <c r="AX20" s="3452"/>
      <c r="AY20" s="3405"/>
      <c r="AZ20" s="2879"/>
      <c r="BA20" s="3401"/>
      <c r="BB20" s="3401"/>
      <c r="BC20" s="2966"/>
      <c r="BD20" s="2594"/>
      <c r="BE20" s="2594"/>
      <c r="BF20" s="2594"/>
      <c r="BG20" s="2614"/>
      <c r="BH20" s="2594"/>
      <c r="BI20" s="2614"/>
      <c r="BJ20" s="3401"/>
    </row>
    <row r="21" spans="1:62" s="3" customFormat="1" ht="72.75" customHeight="1" x14ac:dyDescent="0.2">
      <c r="A21" s="3415"/>
      <c r="B21" s="3416"/>
      <c r="C21" s="3417"/>
      <c r="D21" s="3415"/>
      <c r="E21" s="3416"/>
      <c r="F21" s="3417"/>
      <c r="G21" s="3415"/>
      <c r="H21" s="3416"/>
      <c r="I21" s="3417"/>
      <c r="J21" s="3455"/>
      <c r="K21" s="2604"/>
      <c r="L21" s="2626"/>
      <c r="M21" s="3447"/>
      <c r="N21" s="3443"/>
      <c r="O21" s="2626"/>
      <c r="P21" s="2626"/>
      <c r="Q21" s="2626"/>
      <c r="R21" s="3434"/>
      <c r="S21" s="2621"/>
      <c r="T21" s="2677"/>
      <c r="U21" s="2626"/>
      <c r="V21" s="2626"/>
      <c r="W21" s="3453"/>
      <c r="X21" s="3457"/>
      <c r="Y21" s="3457"/>
      <c r="Z21" s="2678"/>
      <c r="AA21" s="2683"/>
      <c r="AB21" s="3452"/>
      <c r="AC21" s="3405"/>
      <c r="AD21" s="3452"/>
      <c r="AE21" s="3405"/>
      <c r="AF21" s="3452"/>
      <c r="AG21" s="3405"/>
      <c r="AH21" s="3452"/>
      <c r="AI21" s="3405"/>
      <c r="AJ21" s="3452"/>
      <c r="AK21" s="3405"/>
      <c r="AL21" s="3452"/>
      <c r="AM21" s="3405"/>
      <c r="AN21" s="3452"/>
      <c r="AO21" s="3405"/>
      <c r="AP21" s="3452"/>
      <c r="AQ21" s="3405"/>
      <c r="AR21" s="3452"/>
      <c r="AS21" s="3405"/>
      <c r="AT21" s="3452"/>
      <c r="AU21" s="3405"/>
      <c r="AV21" s="3452"/>
      <c r="AW21" s="3405"/>
      <c r="AX21" s="3452"/>
      <c r="AY21" s="3405"/>
      <c r="AZ21" s="2879"/>
      <c r="BA21" s="3401"/>
      <c r="BB21" s="3401"/>
      <c r="BC21" s="2966"/>
      <c r="BD21" s="2594"/>
      <c r="BE21" s="2594"/>
      <c r="BF21" s="2594"/>
      <c r="BG21" s="2614"/>
      <c r="BH21" s="2594"/>
      <c r="BI21" s="2614"/>
      <c r="BJ21" s="3401"/>
    </row>
    <row r="22" spans="1:62" s="3" customFormat="1" ht="37.5" customHeight="1" x14ac:dyDescent="0.2">
      <c r="A22" s="3415"/>
      <c r="B22" s="3416"/>
      <c r="C22" s="3417"/>
      <c r="D22" s="3415"/>
      <c r="E22" s="3416"/>
      <c r="F22" s="3417"/>
      <c r="G22" s="3415"/>
      <c r="H22" s="3416"/>
      <c r="I22" s="3417"/>
      <c r="J22" s="3455"/>
      <c r="K22" s="2604"/>
      <c r="L22" s="2626"/>
      <c r="M22" s="3447"/>
      <c r="N22" s="3443"/>
      <c r="O22" s="2626"/>
      <c r="P22" s="2626"/>
      <c r="Q22" s="2626"/>
      <c r="R22" s="3434"/>
      <c r="S22" s="2621"/>
      <c r="T22" s="2677"/>
      <c r="U22" s="2626"/>
      <c r="V22" s="2626"/>
      <c r="W22" s="3453"/>
      <c r="X22" s="3457"/>
      <c r="Y22" s="3457"/>
      <c r="Z22" s="2678"/>
      <c r="AA22" s="2683"/>
      <c r="AB22" s="3452"/>
      <c r="AC22" s="3405"/>
      <c r="AD22" s="3452"/>
      <c r="AE22" s="3405"/>
      <c r="AF22" s="3452"/>
      <c r="AG22" s="3405"/>
      <c r="AH22" s="3452"/>
      <c r="AI22" s="3405"/>
      <c r="AJ22" s="3452"/>
      <c r="AK22" s="3405"/>
      <c r="AL22" s="3452"/>
      <c r="AM22" s="3405"/>
      <c r="AN22" s="3452"/>
      <c r="AO22" s="3405"/>
      <c r="AP22" s="3452"/>
      <c r="AQ22" s="3405"/>
      <c r="AR22" s="3452"/>
      <c r="AS22" s="3405"/>
      <c r="AT22" s="3452"/>
      <c r="AU22" s="3405"/>
      <c r="AV22" s="3452"/>
      <c r="AW22" s="3405"/>
      <c r="AX22" s="3452"/>
      <c r="AY22" s="3405"/>
      <c r="AZ22" s="2879"/>
      <c r="BA22" s="3401"/>
      <c r="BB22" s="3401"/>
      <c r="BC22" s="2966"/>
      <c r="BD22" s="2594"/>
      <c r="BE22" s="2594"/>
      <c r="BF22" s="2594"/>
      <c r="BG22" s="2614"/>
      <c r="BH22" s="2594"/>
      <c r="BI22" s="2614"/>
      <c r="BJ22" s="3401"/>
    </row>
    <row r="23" spans="1:62" s="3" customFormat="1" ht="31.5" customHeight="1" x14ac:dyDescent="0.2">
      <c r="A23" s="3415"/>
      <c r="B23" s="3416"/>
      <c r="C23" s="3417"/>
      <c r="D23" s="3415"/>
      <c r="E23" s="3416"/>
      <c r="F23" s="3417"/>
      <c r="G23" s="3415"/>
      <c r="H23" s="3416"/>
      <c r="I23" s="3417"/>
      <c r="J23" s="3455"/>
      <c r="K23" s="2604"/>
      <c r="L23" s="2626"/>
      <c r="M23" s="3447"/>
      <c r="N23" s="3443"/>
      <c r="O23" s="2626"/>
      <c r="P23" s="2626"/>
      <c r="Q23" s="2626"/>
      <c r="R23" s="3434"/>
      <c r="S23" s="2621"/>
      <c r="T23" s="2677"/>
      <c r="U23" s="2626"/>
      <c r="V23" s="2626"/>
      <c r="W23" s="3453"/>
      <c r="X23" s="3457"/>
      <c r="Y23" s="3457"/>
      <c r="Z23" s="2678"/>
      <c r="AA23" s="2683"/>
      <c r="AB23" s="3452"/>
      <c r="AC23" s="3405"/>
      <c r="AD23" s="3452"/>
      <c r="AE23" s="3405"/>
      <c r="AF23" s="3452"/>
      <c r="AG23" s="3405"/>
      <c r="AH23" s="3452"/>
      <c r="AI23" s="3405"/>
      <c r="AJ23" s="3452"/>
      <c r="AK23" s="3405"/>
      <c r="AL23" s="3452"/>
      <c r="AM23" s="3405"/>
      <c r="AN23" s="3452"/>
      <c r="AO23" s="3405"/>
      <c r="AP23" s="3452"/>
      <c r="AQ23" s="3405"/>
      <c r="AR23" s="3452"/>
      <c r="AS23" s="3405"/>
      <c r="AT23" s="3452"/>
      <c r="AU23" s="3405"/>
      <c r="AV23" s="3452"/>
      <c r="AW23" s="3405"/>
      <c r="AX23" s="3452"/>
      <c r="AY23" s="3405"/>
      <c r="AZ23" s="2879"/>
      <c r="BA23" s="3401"/>
      <c r="BB23" s="3401"/>
      <c r="BC23" s="2966"/>
      <c r="BD23" s="2594"/>
      <c r="BE23" s="2594"/>
      <c r="BF23" s="2594"/>
      <c r="BG23" s="2614"/>
      <c r="BH23" s="2594"/>
      <c r="BI23" s="2614"/>
      <c r="BJ23" s="3401"/>
    </row>
    <row r="24" spans="1:62" ht="27" customHeight="1" x14ac:dyDescent="0.2">
      <c r="A24" s="3415"/>
      <c r="B24" s="3416"/>
      <c r="C24" s="3417"/>
      <c r="D24" s="3415"/>
      <c r="E24" s="3416"/>
      <c r="F24" s="3417"/>
      <c r="G24" s="3415"/>
      <c r="H24" s="3416"/>
      <c r="I24" s="3417"/>
      <c r="J24" s="3455"/>
      <c r="K24" s="2604"/>
      <c r="L24" s="2626"/>
      <c r="M24" s="3447"/>
      <c r="N24" s="3443"/>
      <c r="O24" s="2626"/>
      <c r="P24" s="2626"/>
      <c r="Q24" s="2626"/>
      <c r="R24" s="3434"/>
      <c r="S24" s="2621"/>
      <c r="T24" s="2677"/>
      <c r="U24" s="2626"/>
      <c r="V24" s="2626"/>
      <c r="W24" s="3453"/>
      <c r="X24" s="3457"/>
      <c r="Y24" s="3457"/>
      <c r="Z24" s="2678"/>
      <c r="AA24" s="2683"/>
      <c r="AB24" s="3452"/>
      <c r="AC24" s="3405"/>
      <c r="AD24" s="3452"/>
      <c r="AE24" s="3405"/>
      <c r="AF24" s="3452"/>
      <c r="AG24" s="3405"/>
      <c r="AH24" s="3452"/>
      <c r="AI24" s="3405"/>
      <c r="AJ24" s="3452"/>
      <c r="AK24" s="3405"/>
      <c r="AL24" s="3452"/>
      <c r="AM24" s="3405"/>
      <c r="AN24" s="3452"/>
      <c r="AO24" s="3405"/>
      <c r="AP24" s="3452"/>
      <c r="AQ24" s="3405"/>
      <c r="AR24" s="3452"/>
      <c r="AS24" s="3405"/>
      <c r="AT24" s="3452"/>
      <c r="AU24" s="3405"/>
      <c r="AV24" s="3452"/>
      <c r="AW24" s="3405"/>
      <c r="AX24" s="3452"/>
      <c r="AY24" s="3405"/>
      <c r="AZ24" s="2879"/>
      <c r="BA24" s="3401"/>
      <c r="BB24" s="3401"/>
      <c r="BC24" s="2966"/>
      <c r="BD24" s="2594"/>
      <c r="BE24" s="2594"/>
      <c r="BF24" s="2594"/>
      <c r="BG24" s="2614"/>
      <c r="BH24" s="2594"/>
      <c r="BI24" s="2614"/>
      <c r="BJ24" s="3401"/>
    </row>
    <row r="25" spans="1:62" ht="17.25" customHeight="1" x14ac:dyDescent="0.2">
      <c r="A25" s="3415"/>
      <c r="B25" s="3416"/>
      <c r="C25" s="3417"/>
      <c r="D25" s="3415"/>
      <c r="E25" s="3416"/>
      <c r="F25" s="3417"/>
      <c r="G25" s="3415"/>
      <c r="H25" s="3416"/>
      <c r="I25" s="3417"/>
      <c r="J25" s="3455"/>
      <c r="K25" s="2604"/>
      <c r="L25" s="2626"/>
      <c r="M25" s="3447"/>
      <c r="N25" s="3443"/>
      <c r="O25" s="2626"/>
      <c r="P25" s="2626"/>
      <c r="Q25" s="2626"/>
      <c r="R25" s="3434"/>
      <c r="S25" s="2621"/>
      <c r="T25" s="2677"/>
      <c r="U25" s="2626"/>
      <c r="V25" s="2626"/>
      <c r="W25" s="3453"/>
      <c r="X25" s="3457"/>
      <c r="Y25" s="3457"/>
      <c r="Z25" s="2678"/>
      <c r="AA25" s="2683"/>
      <c r="AB25" s="3452"/>
      <c r="AC25" s="3405"/>
      <c r="AD25" s="3452"/>
      <c r="AE25" s="3405"/>
      <c r="AF25" s="3452"/>
      <c r="AG25" s="3405"/>
      <c r="AH25" s="3452"/>
      <c r="AI25" s="3405"/>
      <c r="AJ25" s="3452"/>
      <c r="AK25" s="3405"/>
      <c r="AL25" s="3452"/>
      <c r="AM25" s="3405"/>
      <c r="AN25" s="3452"/>
      <c r="AO25" s="3405"/>
      <c r="AP25" s="3452"/>
      <c r="AQ25" s="3405"/>
      <c r="AR25" s="3452"/>
      <c r="AS25" s="3405"/>
      <c r="AT25" s="3452"/>
      <c r="AU25" s="3405"/>
      <c r="AV25" s="3452"/>
      <c r="AW25" s="3405"/>
      <c r="AX25" s="3452"/>
      <c r="AY25" s="3405"/>
      <c r="AZ25" s="2879"/>
      <c r="BA25" s="3401"/>
      <c r="BB25" s="3401"/>
      <c r="BC25" s="2966"/>
      <c r="BD25" s="2594"/>
      <c r="BE25" s="2594"/>
      <c r="BF25" s="2594"/>
      <c r="BG25" s="2614"/>
      <c r="BH25" s="2594"/>
      <c r="BI25" s="2614"/>
      <c r="BJ25" s="3401"/>
    </row>
    <row r="26" spans="1:62" ht="25.5" customHeight="1" x14ac:dyDescent="0.2">
      <c r="A26" s="3415"/>
      <c r="B26" s="3416"/>
      <c r="C26" s="3417"/>
      <c r="D26" s="3415"/>
      <c r="E26" s="3416"/>
      <c r="F26" s="3417"/>
      <c r="G26" s="3415"/>
      <c r="H26" s="3416"/>
      <c r="I26" s="3417"/>
      <c r="J26" s="3455"/>
      <c r="K26" s="2604"/>
      <c r="L26" s="2626"/>
      <c r="M26" s="3447"/>
      <c r="N26" s="3443"/>
      <c r="O26" s="2626"/>
      <c r="P26" s="2626"/>
      <c r="Q26" s="2626"/>
      <c r="R26" s="3434"/>
      <c r="S26" s="2621"/>
      <c r="T26" s="2677"/>
      <c r="U26" s="2626"/>
      <c r="V26" s="2626"/>
      <c r="W26" s="3453"/>
      <c r="X26" s="3458"/>
      <c r="Y26" s="3458"/>
      <c r="Z26" s="2678"/>
      <c r="AA26" s="2683"/>
      <c r="AB26" s="3452"/>
      <c r="AC26" s="3405"/>
      <c r="AD26" s="3452"/>
      <c r="AE26" s="3405"/>
      <c r="AF26" s="3452"/>
      <c r="AG26" s="3405"/>
      <c r="AH26" s="3452"/>
      <c r="AI26" s="3405"/>
      <c r="AJ26" s="3452"/>
      <c r="AK26" s="3405"/>
      <c r="AL26" s="3452"/>
      <c r="AM26" s="3405"/>
      <c r="AN26" s="3452"/>
      <c r="AO26" s="3405"/>
      <c r="AP26" s="3452"/>
      <c r="AQ26" s="3405"/>
      <c r="AR26" s="3452"/>
      <c r="AS26" s="3405"/>
      <c r="AT26" s="3452"/>
      <c r="AU26" s="3405"/>
      <c r="AV26" s="3452"/>
      <c r="AW26" s="3405"/>
      <c r="AX26" s="3452"/>
      <c r="AY26" s="3405"/>
      <c r="AZ26" s="2880"/>
      <c r="BA26" s="3401"/>
      <c r="BB26" s="3401"/>
      <c r="BC26" s="2967"/>
      <c r="BD26" s="3400"/>
      <c r="BE26" s="3400"/>
      <c r="BF26" s="3400"/>
      <c r="BG26" s="2632"/>
      <c r="BH26" s="3400"/>
      <c r="BI26" s="2632"/>
      <c r="BJ26" s="3401"/>
    </row>
    <row r="27" spans="1:62" ht="25.5" customHeight="1" x14ac:dyDescent="0.2">
      <c r="A27" s="3415"/>
      <c r="B27" s="3416"/>
      <c r="C27" s="3417"/>
      <c r="D27" s="3415"/>
      <c r="E27" s="3416"/>
      <c r="F27" s="3417"/>
      <c r="G27" s="3415"/>
      <c r="H27" s="3416"/>
      <c r="I27" s="3417"/>
      <c r="J27" s="50"/>
      <c r="K27" s="412"/>
      <c r="L27" s="50"/>
      <c r="M27" s="50"/>
      <c r="N27" s="411"/>
      <c r="O27" s="50"/>
      <c r="P27" s="50"/>
      <c r="Q27" s="50"/>
      <c r="R27" s="50"/>
      <c r="S27" s="50"/>
      <c r="T27" s="50"/>
      <c r="U27" s="50"/>
      <c r="V27" s="50"/>
      <c r="W27" s="646"/>
      <c r="X27" s="647"/>
      <c r="Y27" s="647"/>
      <c r="Z27" s="50"/>
      <c r="AA27" s="50"/>
      <c r="AB27" s="50"/>
      <c r="AC27" s="411"/>
      <c r="AD27" s="50"/>
      <c r="AE27" s="411"/>
      <c r="AF27" s="50"/>
      <c r="AG27" s="411"/>
      <c r="AH27" s="50"/>
      <c r="AI27" s="411"/>
      <c r="AJ27" s="50"/>
      <c r="AK27" s="411"/>
      <c r="AL27" s="50"/>
      <c r="AM27" s="411"/>
      <c r="AN27" s="50"/>
      <c r="AO27" s="411"/>
      <c r="AP27" s="50"/>
      <c r="AQ27" s="411"/>
      <c r="AR27" s="50"/>
      <c r="AS27" s="411"/>
      <c r="AT27" s="50"/>
      <c r="AU27" s="411"/>
      <c r="AV27" s="50"/>
      <c r="AW27" s="411"/>
      <c r="AX27" s="50"/>
      <c r="AY27" s="411"/>
      <c r="AZ27" s="50"/>
      <c r="BA27" s="50"/>
      <c r="BB27" s="50"/>
      <c r="BC27" s="50"/>
      <c r="BD27" s="50"/>
      <c r="BE27" s="50"/>
      <c r="BF27" s="50"/>
      <c r="BG27" s="411"/>
      <c r="BH27" s="50"/>
      <c r="BI27" s="411"/>
      <c r="BJ27" s="50"/>
    </row>
    <row r="28" spans="1:62" ht="135" customHeight="1" x14ac:dyDescent="0.2">
      <c r="A28" s="3415"/>
      <c r="B28" s="3416"/>
      <c r="C28" s="3417"/>
      <c r="D28" s="3415"/>
      <c r="E28" s="3416"/>
      <c r="F28" s="3417"/>
      <c r="G28" s="3415"/>
      <c r="H28" s="3416"/>
      <c r="I28" s="3417"/>
      <c r="J28" s="2284">
        <v>114</v>
      </c>
      <c r="K28" s="2568" t="s">
        <v>679</v>
      </c>
      <c r="L28" s="2543" t="s">
        <v>680</v>
      </c>
      <c r="M28" s="2287">
        <v>30</v>
      </c>
      <c r="N28" s="696">
        <v>0</v>
      </c>
      <c r="O28" s="2129" t="s">
        <v>693</v>
      </c>
      <c r="P28" s="2137">
        <v>44</v>
      </c>
      <c r="Q28" s="2427" t="s">
        <v>694</v>
      </c>
      <c r="R28" s="2435">
        <f>W28/S28</f>
        <v>1</v>
      </c>
      <c r="S28" s="2134">
        <v>513599</v>
      </c>
      <c r="T28" s="2543" t="s">
        <v>695</v>
      </c>
      <c r="U28" s="2543" t="s">
        <v>696</v>
      </c>
      <c r="V28" s="2427" t="s">
        <v>697</v>
      </c>
      <c r="W28" s="2292">
        <v>513599</v>
      </c>
      <c r="X28" s="2295"/>
      <c r="Y28" s="2295"/>
      <c r="Z28" s="2290" t="s">
        <v>698</v>
      </c>
      <c r="AA28" s="2129" t="s">
        <v>699</v>
      </c>
      <c r="AB28" s="648">
        <v>64149</v>
      </c>
      <c r="AC28" s="649"/>
      <c r="AD28" s="650">
        <v>7224</v>
      </c>
      <c r="AE28" s="652"/>
      <c r="AF28" s="651">
        <v>27477</v>
      </c>
      <c r="AG28" s="652"/>
      <c r="AH28" s="651">
        <v>86843</v>
      </c>
      <c r="AI28" s="652"/>
      <c r="AJ28" s="651">
        <v>236429</v>
      </c>
      <c r="AK28" s="652"/>
      <c r="AL28" s="650">
        <v>0</v>
      </c>
      <c r="AM28" s="652"/>
      <c r="AN28" s="650">
        <v>13208</v>
      </c>
      <c r="AO28" s="652"/>
      <c r="AP28" s="650">
        <v>1817</v>
      </c>
      <c r="AQ28" s="652"/>
      <c r="AR28" s="650">
        <v>520</v>
      </c>
      <c r="AS28" s="652"/>
      <c r="AT28" s="650">
        <v>0</v>
      </c>
      <c r="AU28" s="652"/>
      <c r="AV28" s="650">
        <v>16897</v>
      </c>
      <c r="AW28" s="652"/>
      <c r="AX28" s="650">
        <v>0</v>
      </c>
      <c r="AY28" s="649"/>
      <c r="AZ28" s="2499"/>
      <c r="BA28" s="653">
        <v>0</v>
      </c>
      <c r="BB28" s="653">
        <v>0</v>
      </c>
      <c r="BC28" s="654">
        <v>0</v>
      </c>
      <c r="BD28" s="655" t="s">
        <v>700</v>
      </c>
      <c r="BE28" s="2290"/>
      <c r="BF28" s="656">
        <v>42583</v>
      </c>
      <c r="BG28" s="697"/>
      <c r="BH28" s="656">
        <v>42735</v>
      </c>
      <c r="BI28" s="697"/>
      <c r="BJ28" s="655" t="s">
        <v>688</v>
      </c>
    </row>
    <row r="29" spans="1:62" ht="30" customHeight="1" x14ac:dyDescent="0.2">
      <c r="A29" s="3415"/>
      <c r="B29" s="3416"/>
      <c r="C29" s="3417"/>
      <c r="D29" s="3415"/>
      <c r="E29" s="3416"/>
      <c r="F29" s="3417"/>
      <c r="G29" s="3415"/>
      <c r="H29" s="3416"/>
      <c r="I29" s="3417"/>
      <c r="J29" s="50"/>
      <c r="K29" s="412"/>
      <c r="L29" s="50"/>
      <c r="M29" s="50"/>
      <c r="N29" s="411"/>
      <c r="O29" s="50"/>
      <c r="P29" s="50"/>
      <c r="Q29" s="50"/>
      <c r="R29" s="50"/>
      <c r="S29" s="50"/>
      <c r="T29" s="50"/>
      <c r="U29" s="50"/>
      <c r="V29" s="50"/>
      <c r="W29" s="2520"/>
      <c r="X29" s="643"/>
      <c r="Y29" s="643"/>
      <c r="Z29" s="50"/>
      <c r="AA29" s="50"/>
      <c r="AB29" s="50"/>
      <c r="AC29" s="411"/>
      <c r="AD29" s="50"/>
      <c r="AE29" s="411"/>
      <c r="AF29" s="50"/>
      <c r="AG29" s="411"/>
      <c r="AH29" s="50"/>
      <c r="AI29" s="411"/>
      <c r="AJ29" s="50"/>
      <c r="AK29" s="411"/>
      <c r="AL29" s="50"/>
      <c r="AM29" s="411"/>
      <c r="AN29" s="50"/>
      <c r="AO29" s="411"/>
      <c r="AP29" s="50"/>
      <c r="AQ29" s="411"/>
      <c r="AR29" s="50"/>
      <c r="AS29" s="411"/>
      <c r="AT29" s="50"/>
      <c r="AU29" s="411"/>
      <c r="AV29" s="50"/>
      <c r="AW29" s="411"/>
      <c r="AX29" s="50"/>
      <c r="AY29" s="411"/>
      <c r="AZ29" s="50"/>
      <c r="BA29" s="50"/>
      <c r="BB29" s="50"/>
      <c r="BC29" s="50"/>
      <c r="BD29" s="50"/>
      <c r="BE29" s="50"/>
      <c r="BF29" s="50"/>
      <c r="BG29" s="411"/>
      <c r="BH29" s="50"/>
      <c r="BI29" s="411"/>
      <c r="BJ29" s="50"/>
    </row>
    <row r="30" spans="1:62" ht="78" customHeight="1" x14ac:dyDescent="0.2">
      <c r="A30" s="3415"/>
      <c r="B30" s="3416"/>
      <c r="C30" s="3417"/>
      <c r="D30" s="3415"/>
      <c r="E30" s="3416"/>
      <c r="F30" s="3417"/>
      <c r="G30" s="3415"/>
      <c r="H30" s="3416"/>
      <c r="I30" s="3417"/>
      <c r="J30" s="3455">
        <v>114</v>
      </c>
      <c r="K30" s="2604" t="s">
        <v>679</v>
      </c>
      <c r="L30" s="2604" t="s">
        <v>680</v>
      </c>
      <c r="M30" s="3447">
        <v>30</v>
      </c>
      <c r="N30" s="3443">
        <v>0</v>
      </c>
      <c r="O30" s="2604" t="s">
        <v>701</v>
      </c>
      <c r="P30" s="2626">
        <v>45</v>
      </c>
      <c r="Q30" s="2604" t="s">
        <v>702</v>
      </c>
      <c r="R30" s="2291">
        <f>W30/S30</f>
        <v>7.1566838355798152E-4</v>
      </c>
      <c r="S30" s="2972">
        <f>123200000+ 513599+574934003</f>
        <v>698647602</v>
      </c>
      <c r="T30" s="2604" t="s">
        <v>703</v>
      </c>
      <c r="U30" s="2604" t="s">
        <v>704</v>
      </c>
      <c r="V30" s="2129" t="s">
        <v>705</v>
      </c>
      <c r="W30" s="2292">
        <v>500000</v>
      </c>
      <c r="X30" s="2295"/>
      <c r="Y30" s="2295"/>
      <c r="Z30" s="3401">
        <v>33</v>
      </c>
      <c r="AA30" s="2604" t="s">
        <v>706</v>
      </c>
      <c r="AB30" s="3403">
        <v>0</v>
      </c>
      <c r="AC30" s="3405"/>
      <c r="AD30" s="3403">
        <v>500</v>
      </c>
      <c r="AE30" s="3405"/>
      <c r="AF30" s="3403">
        <v>500</v>
      </c>
      <c r="AG30" s="3405"/>
      <c r="AH30" s="3403">
        <v>500</v>
      </c>
      <c r="AI30" s="3405"/>
      <c r="AJ30" s="3403">
        <v>500</v>
      </c>
      <c r="AK30" s="3405"/>
      <c r="AL30" s="3403">
        <v>0</v>
      </c>
      <c r="AM30" s="3405"/>
      <c r="AN30" s="3403">
        <v>100</v>
      </c>
      <c r="AO30" s="3405"/>
      <c r="AP30" s="3403">
        <v>100</v>
      </c>
      <c r="AQ30" s="3405"/>
      <c r="AR30" s="3403">
        <v>20</v>
      </c>
      <c r="AS30" s="3405"/>
      <c r="AT30" s="3403">
        <v>0</v>
      </c>
      <c r="AU30" s="3405"/>
      <c r="AV30" s="3403">
        <v>32</v>
      </c>
      <c r="AW30" s="3405"/>
      <c r="AX30" s="3403">
        <v>0</v>
      </c>
      <c r="AY30" s="3405"/>
      <c r="AZ30" s="3401"/>
      <c r="BA30" s="3401"/>
      <c r="BB30" s="3401"/>
      <c r="BC30" s="3401"/>
      <c r="BD30" s="3401"/>
      <c r="BE30" s="3401"/>
      <c r="BF30" s="3402">
        <v>42583</v>
      </c>
      <c r="BG30" s="2613"/>
      <c r="BH30" s="3402">
        <v>42735</v>
      </c>
      <c r="BI30" s="2613"/>
      <c r="BJ30" s="3401" t="s">
        <v>688</v>
      </c>
    </row>
    <row r="31" spans="1:62" ht="85.5" customHeight="1" x14ac:dyDescent="0.2">
      <c r="A31" s="3415"/>
      <c r="B31" s="3416"/>
      <c r="C31" s="3417"/>
      <c r="D31" s="3415"/>
      <c r="E31" s="3416"/>
      <c r="F31" s="3417"/>
      <c r="G31" s="3415"/>
      <c r="H31" s="3416"/>
      <c r="I31" s="3417"/>
      <c r="J31" s="3455"/>
      <c r="K31" s="2604"/>
      <c r="L31" s="2604"/>
      <c r="M31" s="3447"/>
      <c r="N31" s="3443"/>
      <c r="O31" s="2604"/>
      <c r="P31" s="2626"/>
      <c r="Q31" s="2604"/>
      <c r="R31" s="2291">
        <f>W31/S30</f>
        <v>0.99928433161644203</v>
      </c>
      <c r="S31" s="2972"/>
      <c r="T31" s="2604"/>
      <c r="U31" s="2604"/>
      <c r="V31" s="2129" t="s">
        <v>707</v>
      </c>
      <c r="W31" s="2292">
        <v>698147602</v>
      </c>
      <c r="X31" s="2295"/>
      <c r="Y31" s="2295"/>
      <c r="Z31" s="3401"/>
      <c r="AA31" s="2604"/>
      <c r="AB31" s="3403"/>
      <c r="AC31" s="3405"/>
      <c r="AD31" s="3403"/>
      <c r="AE31" s="3405"/>
      <c r="AF31" s="3403"/>
      <c r="AG31" s="3405"/>
      <c r="AH31" s="3403"/>
      <c r="AI31" s="3405"/>
      <c r="AJ31" s="3403"/>
      <c r="AK31" s="3405"/>
      <c r="AL31" s="3403"/>
      <c r="AM31" s="3405"/>
      <c r="AN31" s="3403"/>
      <c r="AO31" s="3405"/>
      <c r="AP31" s="3403"/>
      <c r="AQ31" s="3405"/>
      <c r="AR31" s="3403"/>
      <c r="AS31" s="3405"/>
      <c r="AT31" s="3403"/>
      <c r="AU31" s="3405"/>
      <c r="AV31" s="3403"/>
      <c r="AW31" s="3405"/>
      <c r="AX31" s="3403"/>
      <c r="AY31" s="3405"/>
      <c r="AZ31" s="3401"/>
      <c r="BA31" s="3401"/>
      <c r="BB31" s="3401"/>
      <c r="BC31" s="3401"/>
      <c r="BD31" s="3401"/>
      <c r="BE31" s="3401"/>
      <c r="BF31" s="3402"/>
      <c r="BG31" s="2632"/>
      <c r="BH31" s="3402"/>
      <c r="BI31" s="2632"/>
      <c r="BJ31" s="3401"/>
    </row>
    <row r="32" spans="1:62" ht="36.75" customHeight="1" x14ac:dyDescent="0.2">
      <c r="A32" s="3415"/>
      <c r="B32" s="3416"/>
      <c r="C32" s="3417"/>
      <c r="D32" s="3415"/>
      <c r="E32" s="3416"/>
      <c r="F32" s="3417"/>
      <c r="G32" s="3415"/>
      <c r="H32" s="3416"/>
      <c r="I32" s="3417"/>
      <c r="J32" s="50"/>
      <c r="K32" s="412"/>
      <c r="L32" s="50"/>
      <c r="M32" s="50"/>
      <c r="N32" s="411"/>
      <c r="O32" s="50"/>
      <c r="P32" s="50"/>
      <c r="Q32" s="50"/>
      <c r="R32" s="50"/>
      <c r="S32" s="50"/>
      <c r="T32" s="50"/>
      <c r="U32" s="50"/>
      <c r="V32" s="50"/>
      <c r="W32" s="2520"/>
      <c r="X32" s="643"/>
      <c r="Y32" s="643"/>
      <c r="Z32" s="50"/>
      <c r="AA32" s="50"/>
      <c r="AB32" s="50"/>
      <c r="AC32" s="411"/>
      <c r="AD32" s="50"/>
      <c r="AE32" s="411"/>
      <c r="AF32" s="50"/>
      <c r="AG32" s="411"/>
      <c r="AH32" s="50"/>
      <c r="AI32" s="411"/>
      <c r="AJ32" s="50"/>
      <c r="AK32" s="411"/>
      <c r="AL32" s="50"/>
      <c r="AM32" s="411"/>
      <c r="AN32" s="50"/>
      <c r="AO32" s="411"/>
      <c r="AP32" s="50"/>
      <c r="AQ32" s="411"/>
      <c r="AR32" s="50"/>
      <c r="AS32" s="411"/>
      <c r="AT32" s="50"/>
      <c r="AU32" s="411"/>
      <c r="AV32" s="50"/>
      <c r="AW32" s="411"/>
      <c r="AX32" s="50"/>
      <c r="AY32" s="411"/>
      <c r="AZ32" s="50"/>
      <c r="BA32" s="50"/>
      <c r="BB32" s="50"/>
      <c r="BC32" s="50"/>
      <c r="BD32" s="50"/>
      <c r="BE32" s="50"/>
      <c r="BF32" s="50"/>
      <c r="BG32" s="411"/>
      <c r="BH32" s="50"/>
      <c r="BI32" s="411"/>
      <c r="BJ32" s="50"/>
    </row>
    <row r="33" spans="1:62" ht="57.75" customHeight="1" x14ac:dyDescent="0.2">
      <c r="A33" s="3415"/>
      <c r="B33" s="3416"/>
      <c r="C33" s="3417"/>
      <c r="D33" s="3415"/>
      <c r="E33" s="3416"/>
      <c r="F33" s="3417"/>
      <c r="G33" s="3415"/>
      <c r="H33" s="3416"/>
      <c r="I33" s="3417"/>
      <c r="J33" s="3455">
        <v>114</v>
      </c>
      <c r="K33" s="2604" t="s">
        <v>679</v>
      </c>
      <c r="L33" s="2604" t="s">
        <v>708</v>
      </c>
      <c r="M33" s="3447">
        <v>30</v>
      </c>
      <c r="N33" s="3443">
        <v>16</v>
      </c>
      <c r="O33" s="2626" t="s">
        <v>709</v>
      </c>
      <c r="P33" s="2600">
        <v>46</v>
      </c>
      <c r="Q33" s="2604" t="s">
        <v>710</v>
      </c>
      <c r="R33" s="3434">
        <f>W33/S33</f>
        <v>0.34336929457447346</v>
      </c>
      <c r="S33" s="2972">
        <v>1898332793</v>
      </c>
      <c r="T33" s="2604" t="s">
        <v>711</v>
      </c>
      <c r="U33" s="2626" t="s">
        <v>712</v>
      </c>
      <c r="V33" s="2626" t="s">
        <v>713</v>
      </c>
      <c r="W33" s="3453">
        <f>639329192+12500000</f>
        <v>651829192</v>
      </c>
      <c r="X33" s="3451">
        <f>638515333+12500000</f>
        <v>651015333</v>
      </c>
      <c r="Y33" s="3451">
        <f>638515333+12500000</f>
        <v>651015333</v>
      </c>
      <c r="Z33" s="3401">
        <v>20</v>
      </c>
      <c r="AA33" s="2626" t="s">
        <v>686</v>
      </c>
      <c r="AB33" s="3452">
        <v>64149</v>
      </c>
      <c r="AC33" s="3405"/>
      <c r="AD33" s="3452">
        <v>72224</v>
      </c>
      <c r="AE33" s="3405">
        <v>1000</v>
      </c>
      <c r="AF33" s="3452">
        <v>27477</v>
      </c>
      <c r="AG33" s="3405">
        <v>1500</v>
      </c>
      <c r="AH33" s="3452">
        <v>86843</v>
      </c>
      <c r="AI33" s="3405">
        <v>600</v>
      </c>
      <c r="AJ33" s="3452">
        <v>236429</v>
      </c>
      <c r="AK33" s="3405">
        <v>600</v>
      </c>
      <c r="AL33" s="3452">
        <v>0</v>
      </c>
      <c r="AM33" s="3405">
        <v>1400</v>
      </c>
      <c r="AN33" s="3452">
        <v>13208</v>
      </c>
      <c r="AO33" s="3405"/>
      <c r="AP33" s="3452">
        <v>1817</v>
      </c>
      <c r="AQ33" s="3405"/>
      <c r="AR33" s="3452">
        <v>520</v>
      </c>
      <c r="AS33" s="3405"/>
      <c r="AT33" s="3452">
        <v>0</v>
      </c>
      <c r="AU33" s="3405"/>
      <c r="AV33" s="3452">
        <v>16897</v>
      </c>
      <c r="AW33" s="3405"/>
      <c r="AX33" s="3452">
        <v>0</v>
      </c>
      <c r="AY33" s="3405"/>
      <c r="AZ33" s="2633">
        <v>42</v>
      </c>
      <c r="BA33" s="3454">
        <f>638515333+12500000</f>
        <v>651015333</v>
      </c>
      <c r="BB33" s="3454">
        <f>638515333+12500000</f>
        <v>651015333</v>
      </c>
      <c r="BC33" s="2619">
        <f>BB33/BA33</f>
        <v>1</v>
      </c>
      <c r="BD33" s="3401" t="s">
        <v>714</v>
      </c>
      <c r="BE33" s="2290" t="s">
        <v>715</v>
      </c>
      <c r="BF33" s="3439">
        <v>42612</v>
      </c>
      <c r="BG33" s="2613">
        <v>42612</v>
      </c>
      <c r="BH33" s="2593">
        <v>42735</v>
      </c>
      <c r="BI33" s="2613">
        <v>42735</v>
      </c>
      <c r="BJ33" s="3401" t="s">
        <v>688</v>
      </c>
    </row>
    <row r="34" spans="1:62" ht="33" customHeight="1" x14ac:dyDescent="0.2">
      <c r="A34" s="3415"/>
      <c r="B34" s="3416"/>
      <c r="C34" s="3417"/>
      <c r="D34" s="3415"/>
      <c r="E34" s="3416"/>
      <c r="F34" s="3417"/>
      <c r="G34" s="3415"/>
      <c r="H34" s="3416"/>
      <c r="I34" s="3417"/>
      <c r="J34" s="3455"/>
      <c r="K34" s="2604"/>
      <c r="L34" s="2604"/>
      <c r="M34" s="3447"/>
      <c r="N34" s="3443"/>
      <c r="O34" s="2626"/>
      <c r="P34" s="2601"/>
      <c r="Q34" s="2604"/>
      <c r="R34" s="3434"/>
      <c r="S34" s="2972"/>
      <c r="T34" s="2604"/>
      <c r="U34" s="2626"/>
      <c r="V34" s="2626"/>
      <c r="W34" s="3453"/>
      <c r="X34" s="3451"/>
      <c r="Y34" s="3451"/>
      <c r="Z34" s="3401"/>
      <c r="AA34" s="2626"/>
      <c r="AB34" s="3452"/>
      <c r="AC34" s="3405"/>
      <c r="AD34" s="3452"/>
      <c r="AE34" s="3405"/>
      <c r="AF34" s="3452"/>
      <c r="AG34" s="3405"/>
      <c r="AH34" s="3452"/>
      <c r="AI34" s="3405"/>
      <c r="AJ34" s="3452"/>
      <c r="AK34" s="3405"/>
      <c r="AL34" s="3452"/>
      <c r="AM34" s="3405"/>
      <c r="AN34" s="3452"/>
      <c r="AO34" s="3405"/>
      <c r="AP34" s="3452"/>
      <c r="AQ34" s="3405"/>
      <c r="AR34" s="3452"/>
      <c r="AS34" s="3405"/>
      <c r="AT34" s="3452"/>
      <c r="AU34" s="3405"/>
      <c r="AV34" s="3452"/>
      <c r="AW34" s="3405"/>
      <c r="AX34" s="3452"/>
      <c r="AY34" s="3405"/>
      <c r="AZ34" s="2634"/>
      <c r="BA34" s="3454"/>
      <c r="BB34" s="3454"/>
      <c r="BC34" s="2619"/>
      <c r="BD34" s="3401"/>
      <c r="BE34" s="3401" t="s">
        <v>716</v>
      </c>
      <c r="BF34" s="3440"/>
      <c r="BG34" s="2614"/>
      <c r="BH34" s="2594"/>
      <c r="BI34" s="2614"/>
      <c r="BJ34" s="3401"/>
    </row>
    <row r="35" spans="1:62" ht="72" customHeight="1" x14ac:dyDescent="0.2">
      <c r="A35" s="3415"/>
      <c r="B35" s="3416"/>
      <c r="C35" s="3417"/>
      <c r="D35" s="3415"/>
      <c r="E35" s="3416"/>
      <c r="F35" s="3417"/>
      <c r="G35" s="3415"/>
      <c r="H35" s="3416"/>
      <c r="I35" s="3417"/>
      <c r="J35" s="3455"/>
      <c r="K35" s="2604"/>
      <c r="L35" s="2604"/>
      <c r="M35" s="3447"/>
      <c r="N35" s="3443"/>
      <c r="O35" s="2626"/>
      <c r="P35" s="2601"/>
      <c r="Q35" s="2604"/>
      <c r="R35" s="3434"/>
      <c r="S35" s="2972"/>
      <c r="T35" s="2604"/>
      <c r="U35" s="2626"/>
      <c r="V35" s="2626"/>
      <c r="W35" s="3453"/>
      <c r="X35" s="3451"/>
      <c r="Y35" s="3451"/>
      <c r="Z35" s="3401"/>
      <c r="AA35" s="2626"/>
      <c r="AB35" s="3452"/>
      <c r="AC35" s="3405"/>
      <c r="AD35" s="3452"/>
      <c r="AE35" s="3405"/>
      <c r="AF35" s="3452"/>
      <c r="AG35" s="3405"/>
      <c r="AH35" s="3452"/>
      <c r="AI35" s="3405"/>
      <c r="AJ35" s="3452"/>
      <c r="AK35" s="3405"/>
      <c r="AL35" s="3452"/>
      <c r="AM35" s="3405"/>
      <c r="AN35" s="3452"/>
      <c r="AO35" s="3405"/>
      <c r="AP35" s="3452"/>
      <c r="AQ35" s="3405"/>
      <c r="AR35" s="3452"/>
      <c r="AS35" s="3405"/>
      <c r="AT35" s="3452"/>
      <c r="AU35" s="3405"/>
      <c r="AV35" s="3452"/>
      <c r="AW35" s="3405"/>
      <c r="AX35" s="3452"/>
      <c r="AY35" s="3405"/>
      <c r="AZ35" s="2634"/>
      <c r="BA35" s="3454"/>
      <c r="BB35" s="3454"/>
      <c r="BC35" s="2619"/>
      <c r="BD35" s="3401"/>
      <c r="BE35" s="3401"/>
      <c r="BF35" s="3440"/>
      <c r="BG35" s="2614"/>
      <c r="BH35" s="2594"/>
      <c r="BI35" s="2614"/>
      <c r="BJ35" s="3401"/>
    </row>
    <row r="36" spans="1:62" ht="38.25" customHeight="1" x14ac:dyDescent="0.2">
      <c r="A36" s="3415"/>
      <c r="B36" s="3416"/>
      <c r="C36" s="3417"/>
      <c r="D36" s="3415"/>
      <c r="E36" s="3416"/>
      <c r="F36" s="3417"/>
      <c r="G36" s="3415"/>
      <c r="H36" s="3416"/>
      <c r="I36" s="3417"/>
      <c r="J36" s="3455"/>
      <c r="K36" s="2604"/>
      <c r="L36" s="2604"/>
      <c r="M36" s="3447"/>
      <c r="N36" s="3443"/>
      <c r="O36" s="2626"/>
      <c r="P36" s="2601"/>
      <c r="Q36" s="2604"/>
      <c r="R36" s="3434"/>
      <c r="S36" s="2972"/>
      <c r="T36" s="2604"/>
      <c r="U36" s="2626"/>
      <c r="V36" s="2626"/>
      <c r="W36" s="3453"/>
      <c r="X36" s="3451"/>
      <c r="Y36" s="3451"/>
      <c r="Z36" s="3401"/>
      <c r="AA36" s="2626"/>
      <c r="AB36" s="3452"/>
      <c r="AC36" s="3405"/>
      <c r="AD36" s="3452"/>
      <c r="AE36" s="3405"/>
      <c r="AF36" s="3452"/>
      <c r="AG36" s="3405"/>
      <c r="AH36" s="3452"/>
      <c r="AI36" s="3405"/>
      <c r="AJ36" s="3452"/>
      <c r="AK36" s="3405"/>
      <c r="AL36" s="3452"/>
      <c r="AM36" s="3405"/>
      <c r="AN36" s="3452"/>
      <c r="AO36" s="3405"/>
      <c r="AP36" s="3452"/>
      <c r="AQ36" s="3405"/>
      <c r="AR36" s="3452"/>
      <c r="AS36" s="3405"/>
      <c r="AT36" s="3452"/>
      <c r="AU36" s="3405"/>
      <c r="AV36" s="3452"/>
      <c r="AW36" s="3405"/>
      <c r="AX36" s="3452"/>
      <c r="AY36" s="3405"/>
      <c r="AZ36" s="2634"/>
      <c r="BA36" s="3454"/>
      <c r="BB36" s="3454"/>
      <c r="BC36" s="2619"/>
      <c r="BD36" s="3401"/>
      <c r="BE36" s="2290" t="s">
        <v>717</v>
      </c>
      <c r="BF36" s="3440"/>
      <c r="BG36" s="2614"/>
      <c r="BH36" s="2594"/>
      <c r="BI36" s="2614"/>
      <c r="BJ36" s="3401"/>
    </row>
    <row r="37" spans="1:62" ht="60" customHeight="1" x14ac:dyDescent="0.2">
      <c r="A37" s="3415"/>
      <c r="B37" s="3416"/>
      <c r="C37" s="3417"/>
      <c r="D37" s="3415"/>
      <c r="E37" s="3416"/>
      <c r="F37" s="3417"/>
      <c r="G37" s="3415"/>
      <c r="H37" s="3416"/>
      <c r="I37" s="3417"/>
      <c r="J37" s="3463">
        <v>115</v>
      </c>
      <c r="K37" s="2605" t="s">
        <v>718</v>
      </c>
      <c r="L37" s="2604"/>
      <c r="M37" s="3428">
        <v>16</v>
      </c>
      <c r="N37" s="3431">
        <v>27</v>
      </c>
      <c r="O37" s="2600" t="s">
        <v>719</v>
      </c>
      <c r="P37" s="2601"/>
      <c r="Q37" s="2604"/>
      <c r="R37" s="2610">
        <f>W37/S33</f>
        <v>0.59146110004538066</v>
      </c>
      <c r="S37" s="2972"/>
      <c r="T37" s="2604"/>
      <c r="U37" s="2604" t="s">
        <v>720</v>
      </c>
      <c r="V37" s="2626" t="s">
        <v>721</v>
      </c>
      <c r="W37" s="3450">
        <f>1106540002+16250000</f>
        <v>1122790002</v>
      </c>
      <c r="X37" s="3451">
        <f>482616578+16250000</f>
        <v>498866578</v>
      </c>
      <c r="Y37" s="3451">
        <f>482616578+16250000</f>
        <v>498866578</v>
      </c>
      <c r="Z37" s="2621">
        <v>39</v>
      </c>
      <c r="AA37" s="2621" t="s">
        <v>722</v>
      </c>
      <c r="AB37" s="2602"/>
      <c r="AC37" s="2672"/>
      <c r="AD37" s="3403"/>
      <c r="AE37" s="3405"/>
      <c r="AF37" s="3403"/>
      <c r="AG37" s="3405"/>
      <c r="AH37" s="3403"/>
      <c r="AI37" s="3405"/>
      <c r="AJ37" s="3403"/>
      <c r="AK37" s="3405"/>
      <c r="AL37" s="3403"/>
      <c r="AM37" s="3405"/>
      <c r="AN37" s="3403"/>
      <c r="AO37" s="3405"/>
      <c r="AP37" s="3403"/>
      <c r="AQ37" s="3405"/>
      <c r="AR37" s="3403"/>
      <c r="AS37" s="3405"/>
      <c r="AT37" s="3403"/>
      <c r="AU37" s="3405"/>
      <c r="AV37" s="3403"/>
      <c r="AW37" s="3405"/>
      <c r="AX37" s="3403"/>
      <c r="AY37" s="3405"/>
      <c r="AZ37" s="2634"/>
      <c r="BA37" s="3449">
        <f>482616578+16250000</f>
        <v>498866578</v>
      </c>
      <c r="BB37" s="3449">
        <f>482616578+16250000</f>
        <v>498866578</v>
      </c>
      <c r="BC37" s="2619">
        <f>BB37/BA37</f>
        <v>1</v>
      </c>
      <c r="BD37" s="3401" t="s">
        <v>723</v>
      </c>
      <c r="BE37" s="2290" t="s">
        <v>716</v>
      </c>
      <c r="BF37" s="3440"/>
      <c r="BG37" s="2614"/>
      <c r="BH37" s="2594"/>
      <c r="BI37" s="2614"/>
      <c r="BJ37" s="3401" t="s">
        <v>688</v>
      </c>
    </row>
    <row r="38" spans="1:62" ht="57.75" customHeight="1" x14ac:dyDescent="0.2">
      <c r="A38" s="3415"/>
      <c r="B38" s="3416"/>
      <c r="C38" s="3417"/>
      <c r="D38" s="3415"/>
      <c r="E38" s="3416"/>
      <c r="F38" s="3417"/>
      <c r="G38" s="3415"/>
      <c r="H38" s="3416"/>
      <c r="I38" s="3417"/>
      <c r="J38" s="3464"/>
      <c r="K38" s="2987"/>
      <c r="L38" s="2604"/>
      <c r="M38" s="3429"/>
      <c r="N38" s="3432"/>
      <c r="O38" s="2601"/>
      <c r="P38" s="2601"/>
      <c r="Q38" s="2604"/>
      <c r="R38" s="2611"/>
      <c r="S38" s="2972"/>
      <c r="T38" s="2604"/>
      <c r="U38" s="2604"/>
      <c r="V38" s="2626"/>
      <c r="W38" s="3450"/>
      <c r="X38" s="3451"/>
      <c r="Y38" s="3451"/>
      <c r="Z38" s="2621"/>
      <c r="AA38" s="2621"/>
      <c r="AB38" s="2603"/>
      <c r="AC38" s="2673"/>
      <c r="AD38" s="3403"/>
      <c r="AE38" s="3405"/>
      <c r="AF38" s="3403"/>
      <c r="AG38" s="3405"/>
      <c r="AH38" s="3403"/>
      <c r="AI38" s="3405"/>
      <c r="AJ38" s="3403"/>
      <c r="AK38" s="3405"/>
      <c r="AL38" s="3403"/>
      <c r="AM38" s="3405"/>
      <c r="AN38" s="3403"/>
      <c r="AO38" s="3405"/>
      <c r="AP38" s="3403"/>
      <c r="AQ38" s="3405"/>
      <c r="AR38" s="3403"/>
      <c r="AS38" s="3405"/>
      <c r="AT38" s="3403"/>
      <c r="AU38" s="3405"/>
      <c r="AV38" s="3403"/>
      <c r="AW38" s="3405"/>
      <c r="AX38" s="3403"/>
      <c r="AY38" s="3405"/>
      <c r="AZ38" s="2634"/>
      <c r="BA38" s="3449"/>
      <c r="BB38" s="3449"/>
      <c r="BC38" s="2619"/>
      <c r="BD38" s="3401"/>
      <c r="BE38" s="2290" t="s">
        <v>717</v>
      </c>
      <c r="BF38" s="3440"/>
      <c r="BG38" s="2614"/>
      <c r="BH38" s="2594"/>
      <c r="BI38" s="2614"/>
      <c r="BJ38" s="3401"/>
    </row>
    <row r="39" spans="1:62" ht="57.75" customHeight="1" x14ac:dyDescent="0.2">
      <c r="A39" s="3415"/>
      <c r="B39" s="3416"/>
      <c r="C39" s="3417"/>
      <c r="D39" s="3415"/>
      <c r="E39" s="3416"/>
      <c r="F39" s="3417"/>
      <c r="G39" s="3415"/>
      <c r="H39" s="3416"/>
      <c r="I39" s="3417"/>
      <c r="J39" s="3464"/>
      <c r="K39" s="2987"/>
      <c r="L39" s="2604"/>
      <c r="M39" s="3429"/>
      <c r="N39" s="3432"/>
      <c r="O39" s="2601"/>
      <c r="P39" s="2601"/>
      <c r="Q39" s="2604"/>
      <c r="R39" s="2611"/>
      <c r="S39" s="2972"/>
      <c r="T39" s="2604"/>
      <c r="U39" s="2604"/>
      <c r="V39" s="2626"/>
      <c r="W39" s="3450"/>
      <c r="X39" s="3451"/>
      <c r="Y39" s="3451"/>
      <c r="Z39" s="2621"/>
      <c r="AA39" s="2621"/>
      <c r="AB39" s="2603"/>
      <c r="AC39" s="2673"/>
      <c r="AD39" s="3403"/>
      <c r="AE39" s="3405"/>
      <c r="AF39" s="3403"/>
      <c r="AG39" s="3405"/>
      <c r="AH39" s="3403"/>
      <c r="AI39" s="3405"/>
      <c r="AJ39" s="3403"/>
      <c r="AK39" s="3405"/>
      <c r="AL39" s="3403"/>
      <c r="AM39" s="3405"/>
      <c r="AN39" s="3403"/>
      <c r="AO39" s="3405"/>
      <c r="AP39" s="3403"/>
      <c r="AQ39" s="3405"/>
      <c r="AR39" s="3403"/>
      <c r="AS39" s="3405"/>
      <c r="AT39" s="3403"/>
      <c r="AU39" s="3405"/>
      <c r="AV39" s="3403"/>
      <c r="AW39" s="3405"/>
      <c r="AX39" s="3403"/>
      <c r="AY39" s="3405"/>
      <c r="AZ39" s="2634"/>
      <c r="BA39" s="3449"/>
      <c r="BB39" s="3449"/>
      <c r="BC39" s="2619"/>
      <c r="BD39" s="3401"/>
      <c r="BE39" s="2290" t="s">
        <v>724</v>
      </c>
      <c r="BF39" s="3440"/>
      <c r="BG39" s="2614"/>
      <c r="BH39" s="2594"/>
      <c r="BI39" s="2614"/>
      <c r="BJ39" s="3401"/>
    </row>
    <row r="40" spans="1:62" ht="57.75" customHeight="1" x14ac:dyDescent="0.2">
      <c r="A40" s="3415"/>
      <c r="B40" s="3416"/>
      <c r="C40" s="3417"/>
      <c r="D40" s="3415"/>
      <c r="E40" s="3416"/>
      <c r="F40" s="3417"/>
      <c r="G40" s="3415"/>
      <c r="H40" s="3416"/>
      <c r="I40" s="3417"/>
      <c r="J40" s="3464"/>
      <c r="K40" s="2987"/>
      <c r="L40" s="2604"/>
      <c r="M40" s="3429"/>
      <c r="N40" s="3432"/>
      <c r="O40" s="2601"/>
      <c r="P40" s="2601"/>
      <c r="Q40" s="2604"/>
      <c r="R40" s="2611"/>
      <c r="S40" s="2972"/>
      <c r="T40" s="2604"/>
      <c r="U40" s="2604"/>
      <c r="V40" s="2626"/>
      <c r="W40" s="3450"/>
      <c r="X40" s="3451"/>
      <c r="Y40" s="3451"/>
      <c r="Z40" s="2621"/>
      <c r="AA40" s="2621"/>
      <c r="AB40" s="2603"/>
      <c r="AC40" s="2673"/>
      <c r="AD40" s="3403"/>
      <c r="AE40" s="3405"/>
      <c r="AF40" s="3403"/>
      <c r="AG40" s="3405"/>
      <c r="AH40" s="3403"/>
      <c r="AI40" s="3405"/>
      <c r="AJ40" s="3403"/>
      <c r="AK40" s="3405"/>
      <c r="AL40" s="3403"/>
      <c r="AM40" s="3405"/>
      <c r="AN40" s="3403"/>
      <c r="AO40" s="3405"/>
      <c r="AP40" s="3403"/>
      <c r="AQ40" s="3405"/>
      <c r="AR40" s="3403"/>
      <c r="AS40" s="3405"/>
      <c r="AT40" s="3403"/>
      <c r="AU40" s="3405"/>
      <c r="AV40" s="3403"/>
      <c r="AW40" s="3405"/>
      <c r="AX40" s="3403"/>
      <c r="AY40" s="3405"/>
      <c r="AZ40" s="2634"/>
      <c r="BA40" s="3449"/>
      <c r="BB40" s="3449"/>
      <c r="BC40" s="2619"/>
      <c r="BD40" s="3401"/>
      <c r="BE40" s="2290" t="s">
        <v>725</v>
      </c>
      <c r="BF40" s="3440"/>
      <c r="BG40" s="2614"/>
      <c r="BH40" s="2594"/>
      <c r="BI40" s="2614"/>
      <c r="BJ40" s="3401"/>
    </row>
    <row r="41" spans="1:62" ht="57.75" customHeight="1" x14ac:dyDescent="0.2">
      <c r="A41" s="3415"/>
      <c r="B41" s="3416"/>
      <c r="C41" s="3417"/>
      <c r="D41" s="3415"/>
      <c r="E41" s="3416"/>
      <c r="F41" s="3417"/>
      <c r="G41" s="3415"/>
      <c r="H41" s="3416"/>
      <c r="I41" s="3417"/>
      <c r="J41" s="3464"/>
      <c r="K41" s="2987"/>
      <c r="L41" s="2604"/>
      <c r="M41" s="3429"/>
      <c r="N41" s="3432"/>
      <c r="O41" s="2601"/>
      <c r="P41" s="2601"/>
      <c r="Q41" s="2604"/>
      <c r="R41" s="2611"/>
      <c r="S41" s="2972"/>
      <c r="T41" s="2604"/>
      <c r="U41" s="2604"/>
      <c r="V41" s="2626"/>
      <c r="W41" s="3450"/>
      <c r="X41" s="3451"/>
      <c r="Y41" s="3451"/>
      <c r="Z41" s="2621"/>
      <c r="AA41" s="2621"/>
      <c r="AB41" s="2603"/>
      <c r="AC41" s="2673"/>
      <c r="AD41" s="3403"/>
      <c r="AE41" s="3405"/>
      <c r="AF41" s="3403"/>
      <c r="AG41" s="3405"/>
      <c r="AH41" s="3403"/>
      <c r="AI41" s="3405"/>
      <c r="AJ41" s="3403"/>
      <c r="AK41" s="3405"/>
      <c r="AL41" s="3403"/>
      <c r="AM41" s="3405"/>
      <c r="AN41" s="3403"/>
      <c r="AO41" s="3405"/>
      <c r="AP41" s="3403"/>
      <c r="AQ41" s="3405"/>
      <c r="AR41" s="3403"/>
      <c r="AS41" s="3405"/>
      <c r="AT41" s="3403"/>
      <c r="AU41" s="3405"/>
      <c r="AV41" s="3403"/>
      <c r="AW41" s="3405"/>
      <c r="AX41" s="3403"/>
      <c r="AY41" s="3405"/>
      <c r="AZ41" s="2634"/>
      <c r="BA41" s="3449"/>
      <c r="BB41" s="3449"/>
      <c r="BC41" s="2619"/>
      <c r="BD41" s="3401"/>
      <c r="BE41" s="2290" t="s">
        <v>726</v>
      </c>
      <c r="BF41" s="3440"/>
      <c r="BG41" s="2614"/>
      <c r="BH41" s="2594"/>
      <c r="BI41" s="2614"/>
      <c r="BJ41" s="3401"/>
    </row>
    <row r="42" spans="1:62" ht="57.75" customHeight="1" x14ac:dyDescent="0.2">
      <c r="A42" s="3415"/>
      <c r="B42" s="3416"/>
      <c r="C42" s="3417"/>
      <c r="D42" s="3415"/>
      <c r="E42" s="3416"/>
      <c r="F42" s="3417"/>
      <c r="G42" s="3415"/>
      <c r="H42" s="3416"/>
      <c r="I42" s="3417"/>
      <c r="J42" s="3464"/>
      <c r="K42" s="2987"/>
      <c r="L42" s="2604"/>
      <c r="M42" s="3429"/>
      <c r="N42" s="3432"/>
      <c r="O42" s="2601"/>
      <c r="P42" s="2601"/>
      <c r="Q42" s="2604"/>
      <c r="R42" s="2611"/>
      <c r="S42" s="2972"/>
      <c r="T42" s="2604"/>
      <c r="U42" s="2604"/>
      <c r="V42" s="2626"/>
      <c r="W42" s="3450"/>
      <c r="X42" s="3451"/>
      <c r="Y42" s="3451"/>
      <c r="Z42" s="2621"/>
      <c r="AA42" s="2621"/>
      <c r="AB42" s="2603"/>
      <c r="AC42" s="2673"/>
      <c r="AD42" s="3403"/>
      <c r="AE42" s="3405"/>
      <c r="AF42" s="3403"/>
      <c r="AG42" s="3405"/>
      <c r="AH42" s="3403"/>
      <c r="AI42" s="3405"/>
      <c r="AJ42" s="3403"/>
      <c r="AK42" s="3405"/>
      <c r="AL42" s="3403"/>
      <c r="AM42" s="3405"/>
      <c r="AN42" s="3403"/>
      <c r="AO42" s="3405"/>
      <c r="AP42" s="3403"/>
      <c r="AQ42" s="3405"/>
      <c r="AR42" s="3403"/>
      <c r="AS42" s="3405"/>
      <c r="AT42" s="3403"/>
      <c r="AU42" s="3405"/>
      <c r="AV42" s="3403"/>
      <c r="AW42" s="3405"/>
      <c r="AX42" s="3403"/>
      <c r="AY42" s="3405"/>
      <c r="AZ42" s="2634"/>
      <c r="BA42" s="3449"/>
      <c r="BB42" s="3449"/>
      <c r="BC42" s="2619"/>
      <c r="BD42" s="3401"/>
      <c r="BE42" s="655" t="s">
        <v>724</v>
      </c>
      <c r="BF42" s="3440"/>
      <c r="BG42" s="2614"/>
      <c r="BH42" s="2594"/>
      <c r="BI42" s="2614"/>
      <c r="BJ42" s="3401"/>
    </row>
    <row r="43" spans="1:62" ht="57.75" customHeight="1" x14ac:dyDescent="0.2">
      <c r="A43" s="3415"/>
      <c r="B43" s="3416"/>
      <c r="C43" s="3417"/>
      <c r="D43" s="3415"/>
      <c r="E43" s="3416"/>
      <c r="F43" s="3417"/>
      <c r="G43" s="3415"/>
      <c r="H43" s="3416"/>
      <c r="I43" s="3417"/>
      <c r="J43" s="3464"/>
      <c r="K43" s="2987"/>
      <c r="L43" s="2604"/>
      <c r="M43" s="3429"/>
      <c r="N43" s="3432"/>
      <c r="O43" s="2601"/>
      <c r="P43" s="2601"/>
      <c r="Q43" s="2604"/>
      <c r="R43" s="2611"/>
      <c r="S43" s="2972"/>
      <c r="T43" s="2604"/>
      <c r="U43" s="2604"/>
      <c r="V43" s="2626"/>
      <c r="W43" s="3450"/>
      <c r="X43" s="3451"/>
      <c r="Y43" s="3451"/>
      <c r="Z43" s="2621"/>
      <c r="AA43" s="2621"/>
      <c r="AB43" s="2603"/>
      <c r="AC43" s="2673"/>
      <c r="AD43" s="3403"/>
      <c r="AE43" s="3405"/>
      <c r="AF43" s="3403"/>
      <c r="AG43" s="3405"/>
      <c r="AH43" s="3403"/>
      <c r="AI43" s="3405"/>
      <c r="AJ43" s="3403"/>
      <c r="AK43" s="3405"/>
      <c r="AL43" s="3403"/>
      <c r="AM43" s="3405"/>
      <c r="AN43" s="3403"/>
      <c r="AO43" s="3405"/>
      <c r="AP43" s="3403"/>
      <c r="AQ43" s="3405"/>
      <c r="AR43" s="3403"/>
      <c r="AS43" s="3405"/>
      <c r="AT43" s="3403"/>
      <c r="AU43" s="3405"/>
      <c r="AV43" s="3403"/>
      <c r="AW43" s="3405"/>
      <c r="AX43" s="3403"/>
      <c r="AY43" s="3405"/>
      <c r="AZ43" s="2634"/>
      <c r="BA43" s="3449"/>
      <c r="BB43" s="3449"/>
      <c r="BC43" s="2619"/>
      <c r="BD43" s="3401"/>
      <c r="BE43" s="653" t="s">
        <v>727</v>
      </c>
      <c r="BF43" s="3440"/>
      <c r="BG43" s="2614"/>
      <c r="BH43" s="2594"/>
      <c r="BI43" s="2614"/>
      <c r="BJ43" s="3401"/>
    </row>
    <row r="44" spans="1:62" ht="57.75" customHeight="1" x14ac:dyDescent="0.2">
      <c r="A44" s="3415"/>
      <c r="B44" s="3416"/>
      <c r="C44" s="3417"/>
      <c r="D44" s="3415"/>
      <c r="E44" s="3416"/>
      <c r="F44" s="3417"/>
      <c r="G44" s="3415"/>
      <c r="H44" s="3416"/>
      <c r="I44" s="3417"/>
      <c r="J44" s="3464"/>
      <c r="K44" s="2987"/>
      <c r="L44" s="2604"/>
      <c r="M44" s="3429"/>
      <c r="N44" s="3432"/>
      <c r="O44" s="2601"/>
      <c r="P44" s="2601"/>
      <c r="Q44" s="2604"/>
      <c r="R44" s="2611"/>
      <c r="S44" s="2972"/>
      <c r="T44" s="2604"/>
      <c r="U44" s="2604"/>
      <c r="V44" s="2626"/>
      <c r="W44" s="3450"/>
      <c r="X44" s="3451"/>
      <c r="Y44" s="3451"/>
      <c r="Z44" s="2621"/>
      <c r="AA44" s="2621"/>
      <c r="AB44" s="2603"/>
      <c r="AC44" s="2673"/>
      <c r="AD44" s="3403"/>
      <c r="AE44" s="3405"/>
      <c r="AF44" s="3403"/>
      <c r="AG44" s="3405"/>
      <c r="AH44" s="3403"/>
      <c r="AI44" s="3405"/>
      <c r="AJ44" s="3403"/>
      <c r="AK44" s="3405"/>
      <c r="AL44" s="3403"/>
      <c r="AM44" s="3405"/>
      <c r="AN44" s="3403"/>
      <c r="AO44" s="3405"/>
      <c r="AP44" s="3403"/>
      <c r="AQ44" s="3405"/>
      <c r="AR44" s="3403"/>
      <c r="AS44" s="3405"/>
      <c r="AT44" s="3403"/>
      <c r="AU44" s="3405"/>
      <c r="AV44" s="3403"/>
      <c r="AW44" s="3405"/>
      <c r="AX44" s="3403"/>
      <c r="AY44" s="3405"/>
      <c r="AZ44" s="2634"/>
      <c r="BA44" s="3449"/>
      <c r="BB44" s="3449"/>
      <c r="BC44" s="2619"/>
      <c r="BD44" s="3401"/>
      <c r="BE44" s="3401"/>
      <c r="BF44" s="3440"/>
      <c r="BG44" s="2614"/>
      <c r="BH44" s="2594"/>
      <c r="BI44" s="2614"/>
      <c r="BJ44" s="3401"/>
    </row>
    <row r="45" spans="1:62" ht="57.75" customHeight="1" x14ac:dyDescent="0.2">
      <c r="A45" s="3415"/>
      <c r="B45" s="3416"/>
      <c r="C45" s="3417"/>
      <c r="D45" s="3415"/>
      <c r="E45" s="3416"/>
      <c r="F45" s="3417"/>
      <c r="G45" s="3415"/>
      <c r="H45" s="3416"/>
      <c r="I45" s="3417"/>
      <c r="J45" s="3464"/>
      <c r="K45" s="2987"/>
      <c r="L45" s="2604"/>
      <c r="M45" s="3429"/>
      <c r="N45" s="3432"/>
      <c r="O45" s="2601"/>
      <c r="P45" s="2601"/>
      <c r="Q45" s="2604"/>
      <c r="R45" s="2611"/>
      <c r="S45" s="2972"/>
      <c r="T45" s="2604"/>
      <c r="U45" s="2604"/>
      <c r="V45" s="2626"/>
      <c r="W45" s="3450"/>
      <c r="X45" s="3451"/>
      <c r="Y45" s="3451"/>
      <c r="Z45" s="2621"/>
      <c r="AA45" s="2621"/>
      <c r="AB45" s="2603"/>
      <c r="AC45" s="2673"/>
      <c r="AD45" s="3403"/>
      <c r="AE45" s="3405"/>
      <c r="AF45" s="3403"/>
      <c r="AG45" s="3405"/>
      <c r="AH45" s="3403"/>
      <c r="AI45" s="3405"/>
      <c r="AJ45" s="3403"/>
      <c r="AK45" s="3405"/>
      <c r="AL45" s="3403"/>
      <c r="AM45" s="3405"/>
      <c r="AN45" s="3403"/>
      <c r="AO45" s="3405"/>
      <c r="AP45" s="3403"/>
      <c r="AQ45" s="3405"/>
      <c r="AR45" s="3403"/>
      <c r="AS45" s="3405"/>
      <c r="AT45" s="3403"/>
      <c r="AU45" s="3405"/>
      <c r="AV45" s="3403"/>
      <c r="AW45" s="3405"/>
      <c r="AX45" s="3403"/>
      <c r="AY45" s="3405"/>
      <c r="AZ45" s="2634"/>
      <c r="BA45" s="3449"/>
      <c r="BB45" s="3449"/>
      <c r="BC45" s="2619"/>
      <c r="BD45" s="3401"/>
      <c r="BE45" s="3401"/>
      <c r="BF45" s="3440"/>
      <c r="BG45" s="2614"/>
      <c r="BH45" s="2594"/>
      <c r="BI45" s="2614"/>
      <c r="BJ45" s="3401"/>
    </row>
    <row r="46" spans="1:62" ht="57.75" customHeight="1" x14ac:dyDescent="0.2">
      <c r="A46" s="3415"/>
      <c r="B46" s="3416"/>
      <c r="C46" s="3417"/>
      <c r="D46" s="3415"/>
      <c r="E46" s="3416"/>
      <c r="F46" s="3417"/>
      <c r="G46" s="3415"/>
      <c r="H46" s="3416"/>
      <c r="I46" s="3417"/>
      <c r="J46" s="3464"/>
      <c r="K46" s="2987"/>
      <c r="L46" s="2604"/>
      <c r="M46" s="3429"/>
      <c r="N46" s="3432"/>
      <c r="O46" s="2601"/>
      <c r="P46" s="2601"/>
      <c r="Q46" s="2604"/>
      <c r="R46" s="2611"/>
      <c r="S46" s="2972"/>
      <c r="T46" s="2604"/>
      <c r="U46" s="2604"/>
      <c r="V46" s="2626"/>
      <c r="W46" s="3450"/>
      <c r="X46" s="3451"/>
      <c r="Y46" s="3451"/>
      <c r="Z46" s="2621"/>
      <c r="AA46" s="2621"/>
      <c r="AB46" s="2603"/>
      <c r="AC46" s="2673"/>
      <c r="AD46" s="3403"/>
      <c r="AE46" s="3405"/>
      <c r="AF46" s="3403"/>
      <c r="AG46" s="3405"/>
      <c r="AH46" s="3403"/>
      <c r="AI46" s="3405"/>
      <c r="AJ46" s="3403"/>
      <c r="AK46" s="3405"/>
      <c r="AL46" s="3403"/>
      <c r="AM46" s="3405"/>
      <c r="AN46" s="3403"/>
      <c r="AO46" s="3405"/>
      <c r="AP46" s="3403"/>
      <c r="AQ46" s="3405"/>
      <c r="AR46" s="3403"/>
      <c r="AS46" s="3405"/>
      <c r="AT46" s="3403"/>
      <c r="AU46" s="3405"/>
      <c r="AV46" s="3403"/>
      <c r="AW46" s="3405"/>
      <c r="AX46" s="3403"/>
      <c r="AY46" s="3405"/>
      <c r="AZ46" s="2634"/>
      <c r="BA46" s="3449"/>
      <c r="BB46" s="3449"/>
      <c r="BC46" s="2619"/>
      <c r="BD46" s="3401"/>
      <c r="BE46" s="3401"/>
      <c r="BF46" s="3440"/>
      <c r="BG46" s="2614"/>
      <c r="BH46" s="2594"/>
      <c r="BI46" s="2614"/>
      <c r="BJ46" s="3401"/>
    </row>
    <row r="47" spans="1:62" ht="57.75" customHeight="1" x14ac:dyDescent="0.2">
      <c r="A47" s="3415"/>
      <c r="B47" s="3416"/>
      <c r="C47" s="3417"/>
      <c r="D47" s="3415"/>
      <c r="E47" s="3416"/>
      <c r="F47" s="3417"/>
      <c r="G47" s="3415"/>
      <c r="H47" s="3416"/>
      <c r="I47" s="3417"/>
      <c r="J47" s="3464"/>
      <c r="K47" s="2987"/>
      <c r="L47" s="2604"/>
      <c r="M47" s="3429"/>
      <c r="N47" s="3432"/>
      <c r="O47" s="2601"/>
      <c r="P47" s="2601"/>
      <c r="Q47" s="2604"/>
      <c r="R47" s="2611"/>
      <c r="S47" s="2972"/>
      <c r="T47" s="2604"/>
      <c r="U47" s="2604"/>
      <c r="V47" s="2626"/>
      <c r="W47" s="3450"/>
      <c r="X47" s="3451"/>
      <c r="Y47" s="3451"/>
      <c r="Z47" s="2621"/>
      <c r="AA47" s="2621"/>
      <c r="AB47" s="2603"/>
      <c r="AC47" s="2673"/>
      <c r="AD47" s="3403"/>
      <c r="AE47" s="3405"/>
      <c r="AF47" s="3403"/>
      <c r="AG47" s="3405"/>
      <c r="AH47" s="3403"/>
      <c r="AI47" s="3405"/>
      <c r="AJ47" s="3403"/>
      <c r="AK47" s="3405"/>
      <c r="AL47" s="3403"/>
      <c r="AM47" s="3405"/>
      <c r="AN47" s="3403"/>
      <c r="AO47" s="3405"/>
      <c r="AP47" s="3403"/>
      <c r="AQ47" s="3405"/>
      <c r="AR47" s="3403"/>
      <c r="AS47" s="3405"/>
      <c r="AT47" s="3403"/>
      <c r="AU47" s="3405"/>
      <c r="AV47" s="3403"/>
      <c r="AW47" s="3405"/>
      <c r="AX47" s="3403"/>
      <c r="AY47" s="3405"/>
      <c r="AZ47" s="2634"/>
      <c r="BA47" s="3449"/>
      <c r="BB47" s="3449"/>
      <c r="BC47" s="2619"/>
      <c r="BD47" s="3401"/>
      <c r="BE47" s="3401"/>
      <c r="BF47" s="3440"/>
      <c r="BG47" s="2614"/>
      <c r="BH47" s="2594"/>
      <c r="BI47" s="2614"/>
      <c r="BJ47" s="3401"/>
    </row>
    <row r="48" spans="1:62" ht="57.75" customHeight="1" x14ac:dyDescent="0.2">
      <c r="A48" s="3415"/>
      <c r="B48" s="3416"/>
      <c r="C48" s="3417"/>
      <c r="D48" s="3415"/>
      <c r="E48" s="3416"/>
      <c r="F48" s="3417"/>
      <c r="G48" s="3415"/>
      <c r="H48" s="3416"/>
      <c r="I48" s="3417"/>
      <c r="J48" s="3464"/>
      <c r="K48" s="2987"/>
      <c r="L48" s="2604"/>
      <c r="M48" s="3429"/>
      <c r="N48" s="3432"/>
      <c r="O48" s="2601"/>
      <c r="P48" s="2601"/>
      <c r="Q48" s="2604"/>
      <c r="R48" s="2611"/>
      <c r="S48" s="2972"/>
      <c r="T48" s="2604"/>
      <c r="U48" s="2604"/>
      <c r="V48" s="2626"/>
      <c r="W48" s="3450"/>
      <c r="X48" s="3451"/>
      <c r="Y48" s="3451"/>
      <c r="Z48" s="2621"/>
      <c r="AA48" s="2621"/>
      <c r="AB48" s="2603"/>
      <c r="AC48" s="2673"/>
      <c r="AD48" s="3403"/>
      <c r="AE48" s="3405"/>
      <c r="AF48" s="3403"/>
      <c r="AG48" s="3405"/>
      <c r="AH48" s="3403"/>
      <c r="AI48" s="3405"/>
      <c r="AJ48" s="3403"/>
      <c r="AK48" s="3405"/>
      <c r="AL48" s="3403"/>
      <c r="AM48" s="3405"/>
      <c r="AN48" s="3403"/>
      <c r="AO48" s="3405"/>
      <c r="AP48" s="3403"/>
      <c r="AQ48" s="3405"/>
      <c r="AR48" s="3403"/>
      <c r="AS48" s="3405"/>
      <c r="AT48" s="3403"/>
      <c r="AU48" s="3405"/>
      <c r="AV48" s="3403"/>
      <c r="AW48" s="3405"/>
      <c r="AX48" s="3403"/>
      <c r="AY48" s="3405"/>
      <c r="AZ48" s="2634"/>
      <c r="BA48" s="3449"/>
      <c r="BB48" s="3449"/>
      <c r="BC48" s="2619"/>
      <c r="BD48" s="3401"/>
      <c r="BE48" s="3401"/>
      <c r="BF48" s="3440"/>
      <c r="BG48" s="2614"/>
      <c r="BH48" s="2594"/>
      <c r="BI48" s="2614"/>
      <c r="BJ48" s="3401"/>
    </row>
    <row r="49" spans="1:62" ht="57.75" customHeight="1" x14ac:dyDescent="0.2">
      <c r="A49" s="3415"/>
      <c r="B49" s="3416"/>
      <c r="C49" s="3417"/>
      <c r="D49" s="3415"/>
      <c r="E49" s="3416"/>
      <c r="F49" s="3417"/>
      <c r="G49" s="3415"/>
      <c r="H49" s="3416"/>
      <c r="I49" s="3417"/>
      <c r="J49" s="3464"/>
      <c r="K49" s="2987"/>
      <c r="L49" s="2604"/>
      <c r="M49" s="3429"/>
      <c r="N49" s="3432"/>
      <c r="O49" s="2601"/>
      <c r="P49" s="2601"/>
      <c r="Q49" s="2604"/>
      <c r="R49" s="2611"/>
      <c r="S49" s="2972"/>
      <c r="T49" s="2604"/>
      <c r="U49" s="2604"/>
      <c r="V49" s="2626"/>
      <c r="W49" s="3450"/>
      <c r="X49" s="3451"/>
      <c r="Y49" s="3451"/>
      <c r="Z49" s="2621"/>
      <c r="AA49" s="2621"/>
      <c r="AB49" s="2603"/>
      <c r="AC49" s="2673"/>
      <c r="AD49" s="3403"/>
      <c r="AE49" s="3405"/>
      <c r="AF49" s="3403"/>
      <c r="AG49" s="3405"/>
      <c r="AH49" s="3403"/>
      <c r="AI49" s="3405"/>
      <c r="AJ49" s="3403"/>
      <c r="AK49" s="3405"/>
      <c r="AL49" s="3403"/>
      <c r="AM49" s="3405"/>
      <c r="AN49" s="3403"/>
      <c r="AO49" s="3405"/>
      <c r="AP49" s="3403"/>
      <c r="AQ49" s="3405"/>
      <c r="AR49" s="3403"/>
      <c r="AS49" s="3405"/>
      <c r="AT49" s="3403"/>
      <c r="AU49" s="3405"/>
      <c r="AV49" s="3403"/>
      <c r="AW49" s="3405"/>
      <c r="AX49" s="3403"/>
      <c r="AY49" s="3405"/>
      <c r="AZ49" s="2634"/>
      <c r="BA49" s="3449"/>
      <c r="BB49" s="3449"/>
      <c r="BC49" s="2619"/>
      <c r="BD49" s="3401"/>
      <c r="BE49" s="3401"/>
      <c r="BF49" s="3440"/>
      <c r="BG49" s="2614"/>
      <c r="BH49" s="2594"/>
      <c r="BI49" s="2614"/>
      <c r="BJ49" s="3401"/>
    </row>
    <row r="50" spans="1:62" ht="57.75" customHeight="1" x14ac:dyDescent="0.2">
      <c r="A50" s="3415"/>
      <c r="B50" s="3416"/>
      <c r="C50" s="3417"/>
      <c r="D50" s="3415"/>
      <c r="E50" s="3416"/>
      <c r="F50" s="3417"/>
      <c r="G50" s="3415"/>
      <c r="H50" s="3416"/>
      <c r="I50" s="3417"/>
      <c r="J50" s="3464"/>
      <c r="K50" s="2987"/>
      <c r="L50" s="2604"/>
      <c r="M50" s="3429"/>
      <c r="N50" s="3432"/>
      <c r="O50" s="2601"/>
      <c r="P50" s="2601"/>
      <c r="Q50" s="2604"/>
      <c r="R50" s="2611"/>
      <c r="S50" s="2972"/>
      <c r="T50" s="2604"/>
      <c r="U50" s="2604"/>
      <c r="V50" s="2626"/>
      <c r="W50" s="3450"/>
      <c r="X50" s="3451"/>
      <c r="Y50" s="3451"/>
      <c r="Z50" s="2621"/>
      <c r="AA50" s="2621"/>
      <c r="AB50" s="2603"/>
      <c r="AC50" s="2673"/>
      <c r="AD50" s="3403"/>
      <c r="AE50" s="3405"/>
      <c r="AF50" s="3403"/>
      <c r="AG50" s="3405"/>
      <c r="AH50" s="3403"/>
      <c r="AI50" s="3405"/>
      <c r="AJ50" s="3403"/>
      <c r="AK50" s="3405"/>
      <c r="AL50" s="3403"/>
      <c r="AM50" s="3405"/>
      <c r="AN50" s="3403"/>
      <c r="AO50" s="3405"/>
      <c r="AP50" s="3403"/>
      <c r="AQ50" s="3405"/>
      <c r="AR50" s="3403"/>
      <c r="AS50" s="3405"/>
      <c r="AT50" s="3403"/>
      <c r="AU50" s="3405"/>
      <c r="AV50" s="3403"/>
      <c r="AW50" s="3405"/>
      <c r="AX50" s="3403"/>
      <c r="AY50" s="3405"/>
      <c r="AZ50" s="2634"/>
      <c r="BA50" s="3449"/>
      <c r="BB50" s="3449"/>
      <c r="BC50" s="2619"/>
      <c r="BD50" s="3401"/>
      <c r="BE50" s="3401"/>
      <c r="BF50" s="3440"/>
      <c r="BG50" s="2614"/>
      <c r="BH50" s="2594"/>
      <c r="BI50" s="2614"/>
      <c r="BJ50" s="3401"/>
    </row>
    <row r="51" spans="1:62" ht="18" customHeight="1" x14ac:dyDescent="0.2">
      <c r="A51" s="3415"/>
      <c r="B51" s="3416"/>
      <c r="C51" s="3417"/>
      <c r="D51" s="3415"/>
      <c r="E51" s="3416"/>
      <c r="F51" s="3417"/>
      <c r="G51" s="3415"/>
      <c r="H51" s="3416"/>
      <c r="I51" s="3417"/>
      <c r="J51" s="3464"/>
      <c r="K51" s="2987"/>
      <c r="L51" s="2604"/>
      <c r="M51" s="3429"/>
      <c r="N51" s="3432"/>
      <c r="O51" s="2601"/>
      <c r="P51" s="2601"/>
      <c r="Q51" s="2604"/>
      <c r="R51" s="2611"/>
      <c r="S51" s="2972"/>
      <c r="T51" s="2604"/>
      <c r="U51" s="2604"/>
      <c r="V51" s="2626"/>
      <c r="W51" s="3450"/>
      <c r="X51" s="3451"/>
      <c r="Y51" s="3451"/>
      <c r="Z51" s="2621"/>
      <c r="AA51" s="2621"/>
      <c r="AB51" s="2603"/>
      <c r="AC51" s="2673"/>
      <c r="AD51" s="3403"/>
      <c r="AE51" s="3405"/>
      <c r="AF51" s="3403"/>
      <c r="AG51" s="3405"/>
      <c r="AH51" s="3403"/>
      <c r="AI51" s="3405"/>
      <c r="AJ51" s="3403"/>
      <c r="AK51" s="3405"/>
      <c r="AL51" s="3403"/>
      <c r="AM51" s="3405"/>
      <c r="AN51" s="3403"/>
      <c r="AO51" s="3405"/>
      <c r="AP51" s="3403"/>
      <c r="AQ51" s="3405"/>
      <c r="AR51" s="3403"/>
      <c r="AS51" s="3405"/>
      <c r="AT51" s="3403"/>
      <c r="AU51" s="3405"/>
      <c r="AV51" s="3403"/>
      <c r="AW51" s="3405"/>
      <c r="AX51" s="3403"/>
      <c r="AY51" s="3405"/>
      <c r="AZ51" s="2634"/>
      <c r="BA51" s="3449"/>
      <c r="BB51" s="3449"/>
      <c r="BC51" s="2619"/>
      <c r="BD51" s="3401"/>
      <c r="BE51" s="3401"/>
      <c r="BF51" s="3440"/>
      <c r="BG51" s="2614"/>
      <c r="BH51" s="2594"/>
      <c r="BI51" s="2614"/>
      <c r="BJ51" s="3401"/>
    </row>
    <row r="52" spans="1:62" ht="18" customHeight="1" x14ac:dyDescent="0.2">
      <c r="A52" s="3415"/>
      <c r="B52" s="3416"/>
      <c r="C52" s="3417"/>
      <c r="D52" s="3415"/>
      <c r="E52" s="3416"/>
      <c r="F52" s="3417"/>
      <c r="G52" s="3415"/>
      <c r="H52" s="3416"/>
      <c r="I52" s="3417"/>
      <c r="J52" s="3464"/>
      <c r="K52" s="2987"/>
      <c r="L52" s="2604"/>
      <c r="M52" s="3429"/>
      <c r="N52" s="3432"/>
      <c r="O52" s="2601"/>
      <c r="P52" s="2601"/>
      <c r="Q52" s="2604"/>
      <c r="R52" s="2611"/>
      <c r="S52" s="2972"/>
      <c r="T52" s="2604"/>
      <c r="U52" s="2604"/>
      <c r="V52" s="2626"/>
      <c r="W52" s="3450"/>
      <c r="X52" s="3451"/>
      <c r="Y52" s="3451"/>
      <c r="Z52" s="2621"/>
      <c r="AA52" s="2621"/>
      <c r="AB52" s="2603"/>
      <c r="AC52" s="2673"/>
      <c r="AD52" s="3403"/>
      <c r="AE52" s="3405"/>
      <c r="AF52" s="3403"/>
      <c r="AG52" s="3405"/>
      <c r="AH52" s="3403"/>
      <c r="AI52" s="3405"/>
      <c r="AJ52" s="3403"/>
      <c r="AK52" s="3405"/>
      <c r="AL52" s="3403"/>
      <c r="AM52" s="3405"/>
      <c r="AN52" s="3403"/>
      <c r="AO52" s="3405"/>
      <c r="AP52" s="3403"/>
      <c r="AQ52" s="3405"/>
      <c r="AR52" s="3403"/>
      <c r="AS52" s="3405"/>
      <c r="AT52" s="3403"/>
      <c r="AU52" s="3405"/>
      <c r="AV52" s="3403"/>
      <c r="AW52" s="3405"/>
      <c r="AX52" s="3403"/>
      <c r="AY52" s="3405"/>
      <c r="AZ52" s="2634"/>
      <c r="BA52" s="3449"/>
      <c r="BB52" s="3449"/>
      <c r="BC52" s="2619"/>
      <c r="BD52" s="3401"/>
      <c r="BE52" s="3401"/>
      <c r="BF52" s="3440"/>
      <c r="BG52" s="2614"/>
      <c r="BH52" s="2594"/>
      <c r="BI52" s="2614"/>
      <c r="BJ52" s="3401"/>
    </row>
    <row r="53" spans="1:62" ht="18" customHeight="1" x14ac:dyDescent="0.2">
      <c r="A53" s="3415"/>
      <c r="B53" s="3416"/>
      <c r="C53" s="3417"/>
      <c r="D53" s="3415"/>
      <c r="E53" s="3416"/>
      <c r="F53" s="3417"/>
      <c r="G53" s="3415"/>
      <c r="H53" s="3416"/>
      <c r="I53" s="3417"/>
      <c r="J53" s="3464"/>
      <c r="K53" s="2987"/>
      <c r="L53" s="2604"/>
      <c r="M53" s="3429"/>
      <c r="N53" s="3432"/>
      <c r="O53" s="2601"/>
      <c r="P53" s="2601"/>
      <c r="Q53" s="2604"/>
      <c r="R53" s="2611"/>
      <c r="S53" s="2972"/>
      <c r="T53" s="2604"/>
      <c r="U53" s="2604"/>
      <c r="V53" s="2626"/>
      <c r="W53" s="3450"/>
      <c r="X53" s="3451"/>
      <c r="Y53" s="3451"/>
      <c r="Z53" s="2621"/>
      <c r="AA53" s="2621"/>
      <c r="AB53" s="2603"/>
      <c r="AC53" s="2673"/>
      <c r="AD53" s="3403"/>
      <c r="AE53" s="3405"/>
      <c r="AF53" s="3403"/>
      <c r="AG53" s="3405"/>
      <c r="AH53" s="3403"/>
      <c r="AI53" s="3405"/>
      <c r="AJ53" s="3403"/>
      <c r="AK53" s="3405"/>
      <c r="AL53" s="3403"/>
      <c r="AM53" s="3405"/>
      <c r="AN53" s="3403"/>
      <c r="AO53" s="3405"/>
      <c r="AP53" s="3403"/>
      <c r="AQ53" s="3405"/>
      <c r="AR53" s="3403"/>
      <c r="AS53" s="3405"/>
      <c r="AT53" s="3403"/>
      <c r="AU53" s="3405"/>
      <c r="AV53" s="3403"/>
      <c r="AW53" s="3405"/>
      <c r="AX53" s="3403"/>
      <c r="AY53" s="3405"/>
      <c r="AZ53" s="2634"/>
      <c r="BA53" s="3449"/>
      <c r="BB53" s="3449"/>
      <c r="BC53" s="2619"/>
      <c r="BD53" s="3401"/>
      <c r="BE53" s="3401"/>
      <c r="BF53" s="3440"/>
      <c r="BG53" s="2614"/>
      <c r="BH53" s="2594"/>
      <c r="BI53" s="2614"/>
      <c r="BJ53" s="3401"/>
    </row>
    <row r="54" spans="1:62" ht="6.75" customHeight="1" x14ac:dyDescent="0.2">
      <c r="A54" s="3415"/>
      <c r="B54" s="3416"/>
      <c r="C54" s="3417"/>
      <c r="D54" s="3415"/>
      <c r="E54" s="3416"/>
      <c r="F54" s="3417"/>
      <c r="G54" s="3415"/>
      <c r="H54" s="3416"/>
      <c r="I54" s="3417"/>
      <c r="J54" s="3464"/>
      <c r="K54" s="2987"/>
      <c r="L54" s="2604"/>
      <c r="M54" s="3429"/>
      <c r="N54" s="3432"/>
      <c r="O54" s="2601"/>
      <c r="P54" s="2601"/>
      <c r="Q54" s="2604"/>
      <c r="R54" s="2611"/>
      <c r="S54" s="2972"/>
      <c r="T54" s="2604"/>
      <c r="U54" s="2604"/>
      <c r="V54" s="2626"/>
      <c r="W54" s="3450"/>
      <c r="X54" s="3451"/>
      <c r="Y54" s="3451"/>
      <c r="Z54" s="2621"/>
      <c r="AA54" s="2621"/>
      <c r="AB54" s="2603"/>
      <c r="AC54" s="2673"/>
      <c r="AD54" s="3403"/>
      <c r="AE54" s="3405"/>
      <c r="AF54" s="3403"/>
      <c r="AG54" s="3405"/>
      <c r="AH54" s="3403"/>
      <c r="AI54" s="3405"/>
      <c r="AJ54" s="3403"/>
      <c r="AK54" s="3405"/>
      <c r="AL54" s="3403"/>
      <c r="AM54" s="3405"/>
      <c r="AN54" s="3403"/>
      <c r="AO54" s="3405"/>
      <c r="AP54" s="3403"/>
      <c r="AQ54" s="3405"/>
      <c r="AR54" s="3403"/>
      <c r="AS54" s="3405"/>
      <c r="AT54" s="3403"/>
      <c r="AU54" s="3405"/>
      <c r="AV54" s="3403"/>
      <c r="AW54" s="3405"/>
      <c r="AX54" s="3403"/>
      <c r="AY54" s="3405"/>
      <c r="AZ54" s="2634"/>
      <c r="BA54" s="3449"/>
      <c r="BB54" s="3449"/>
      <c r="BC54" s="2619"/>
      <c r="BD54" s="3401"/>
      <c r="BE54" s="3401"/>
      <c r="BF54" s="3440"/>
      <c r="BG54" s="2614"/>
      <c r="BH54" s="2594"/>
      <c r="BI54" s="2614"/>
      <c r="BJ54" s="3401"/>
    </row>
    <row r="55" spans="1:62" ht="18" customHeight="1" x14ac:dyDescent="0.2">
      <c r="A55" s="3415"/>
      <c r="B55" s="3416"/>
      <c r="C55" s="3417"/>
      <c r="D55" s="3415"/>
      <c r="E55" s="3416"/>
      <c r="F55" s="3417"/>
      <c r="G55" s="3415"/>
      <c r="H55" s="3416"/>
      <c r="I55" s="3417"/>
      <c r="J55" s="3464"/>
      <c r="K55" s="2987"/>
      <c r="L55" s="2604"/>
      <c r="M55" s="3429"/>
      <c r="N55" s="3432"/>
      <c r="O55" s="2601"/>
      <c r="P55" s="2601"/>
      <c r="Q55" s="2604"/>
      <c r="R55" s="2611"/>
      <c r="S55" s="2972"/>
      <c r="T55" s="2604"/>
      <c r="U55" s="2604"/>
      <c r="V55" s="2626"/>
      <c r="W55" s="3450"/>
      <c r="X55" s="3451"/>
      <c r="Y55" s="3451"/>
      <c r="Z55" s="2621"/>
      <c r="AA55" s="2621"/>
      <c r="AB55" s="2603"/>
      <c r="AC55" s="2673"/>
      <c r="AD55" s="3403"/>
      <c r="AE55" s="3405"/>
      <c r="AF55" s="3403"/>
      <c r="AG55" s="3405"/>
      <c r="AH55" s="3403"/>
      <c r="AI55" s="3405"/>
      <c r="AJ55" s="3403"/>
      <c r="AK55" s="3405"/>
      <c r="AL55" s="3403"/>
      <c r="AM55" s="3405"/>
      <c r="AN55" s="3403"/>
      <c r="AO55" s="3405"/>
      <c r="AP55" s="3403"/>
      <c r="AQ55" s="3405"/>
      <c r="AR55" s="3403"/>
      <c r="AS55" s="3405"/>
      <c r="AT55" s="3403"/>
      <c r="AU55" s="3405"/>
      <c r="AV55" s="3403"/>
      <c r="AW55" s="3405"/>
      <c r="AX55" s="3403"/>
      <c r="AY55" s="3405"/>
      <c r="AZ55" s="2634"/>
      <c r="BA55" s="3449"/>
      <c r="BB55" s="3449"/>
      <c r="BC55" s="2619"/>
      <c r="BD55" s="3401"/>
      <c r="BE55" s="3401"/>
      <c r="BF55" s="3440"/>
      <c r="BG55" s="2614"/>
      <c r="BH55" s="2594"/>
      <c r="BI55" s="2614"/>
      <c r="BJ55" s="3401"/>
    </row>
    <row r="56" spans="1:62" ht="59.25" customHeight="1" x14ac:dyDescent="0.2">
      <c r="A56" s="3415"/>
      <c r="B56" s="3416"/>
      <c r="C56" s="3417"/>
      <c r="D56" s="3415"/>
      <c r="E56" s="3416"/>
      <c r="F56" s="3417"/>
      <c r="G56" s="3415"/>
      <c r="H56" s="3416"/>
      <c r="I56" s="3417"/>
      <c r="J56" s="3465"/>
      <c r="K56" s="2988"/>
      <c r="L56" s="2604"/>
      <c r="M56" s="3430"/>
      <c r="N56" s="3433"/>
      <c r="O56" s="2636"/>
      <c r="P56" s="2601"/>
      <c r="Q56" s="2604"/>
      <c r="R56" s="3421"/>
      <c r="S56" s="2972"/>
      <c r="T56" s="2604"/>
      <c r="U56" s="2604"/>
      <c r="V56" s="2626"/>
      <c r="W56" s="3450"/>
      <c r="X56" s="3451"/>
      <c r="Y56" s="3451"/>
      <c r="Z56" s="2621"/>
      <c r="AA56" s="2621"/>
      <c r="AB56" s="3435"/>
      <c r="AC56" s="2674"/>
      <c r="AD56" s="3403"/>
      <c r="AE56" s="3405"/>
      <c r="AF56" s="3403"/>
      <c r="AG56" s="3405"/>
      <c r="AH56" s="3403"/>
      <c r="AI56" s="3405"/>
      <c r="AJ56" s="3403"/>
      <c r="AK56" s="3405"/>
      <c r="AL56" s="3403"/>
      <c r="AM56" s="3405"/>
      <c r="AN56" s="3403"/>
      <c r="AO56" s="3405"/>
      <c r="AP56" s="3403"/>
      <c r="AQ56" s="3405"/>
      <c r="AR56" s="3403"/>
      <c r="AS56" s="3405"/>
      <c r="AT56" s="3403"/>
      <c r="AU56" s="3405"/>
      <c r="AV56" s="3403"/>
      <c r="AW56" s="3405"/>
      <c r="AX56" s="3403"/>
      <c r="AY56" s="3405"/>
      <c r="AZ56" s="2634"/>
      <c r="BA56" s="3449"/>
      <c r="BB56" s="3449"/>
      <c r="BC56" s="2619"/>
      <c r="BD56" s="3401"/>
      <c r="BE56" s="3401"/>
      <c r="BF56" s="3440"/>
      <c r="BG56" s="2614"/>
      <c r="BH56" s="2594"/>
      <c r="BI56" s="2614"/>
      <c r="BJ56" s="3401"/>
    </row>
    <row r="57" spans="1:62" ht="60.75" customHeight="1" x14ac:dyDescent="0.2">
      <c r="A57" s="3415"/>
      <c r="B57" s="3416"/>
      <c r="C57" s="3417"/>
      <c r="D57" s="3415"/>
      <c r="E57" s="3416"/>
      <c r="F57" s="3417"/>
      <c r="G57" s="3418"/>
      <c r="H57" s="3419"/>
      <c r="I57" s="3420"/>
      <c r="J57" s="2284">
        <v>116</v>
      </c>
      <c r="K57" s="2568" t="s">
        <v>728</v>
      </c>
      <c r="L57" s="2604"/>
      <c r="M57" s="2287">
        <v>5</v>
      </c>
      <c r="N57" s="2288">
        <v>5</v>
      </c>
      <c r="O57" s="2543" t="s">
        <v>729</v>
      </c>
      <c r="P57" s="2636"/>
      <c r="Q57" s="2604"/>
      <c r="R57" s="2291">
        <f>W57/S33</f>
        <v>6.5169605380145795E-2</v>
      </c>
      <c r="S57" s="2972"/>
      <c r="T57" s="2604"/>
      <c r="U57" s="2129" t="s">
        <v>730</v>
      </c>
      <c r="V57" s="2129" t="s">
        <v>731</v>
      </c>
      <c r="W57" s="2296">
        <v>123713599</v>
      </c>
      <c r="X57" s="2295">
        <v>56125120</v>
      </c>
      <c r="Y57" s="2295">
        <v>56125120</v>
      </c>
      <c r="Z57" s="2290">
        <v>41</v>
      </c>
      <c r="AA57" s="2129" t="s">
        <v>732</v>
      </c>
      <c r="AB57" s="2293"/>
      <c r="AC57" s="2286"/>
      <c r="AD57" s="2293"/>
      <c r="AE57" s="2286"/>
      <c r="AF57" s="2293"/>
      <c r="AG57" s="2286"/>
      <c r="AH57" s="2293"/>
      <c r="AI57" s="2286"/>
      <c r="AJ57" s="2293"/>
      <c r="AK57" s="2286"/>
      <c r="AL57" s="2293"/>
      <c r="AM57" s="2286"/>
      <c r="AN57" s="2293"/>
      <c r="AO57" s="2286"/>
      <c r="AP57" s="2293"/>
      <c r="AQ57" s="2286"/>
      <c r="AR57" s="2293"/>
      <c r="AS57" s="2286"/>
      <c r="AT57" s="2293"/>
      <c r="AU57" s="2286"/>
      <c r="AV57" s="2293"/>
      <c r="AW57" s="2286"/>
      <c r="AX57" s="2293"/>
      <c r="AY57" s="2286"/>
      <c r="AZ57" s="2635"/>
      <c r="BA57" s="2114">
        <v>56125120</v>
      </c>
      <c r="BB57" s="2114">
        <v>56125120</v>
      </c>
      <c r="BC57" s="2299">
        <f>+BB57/BA57</f>
        <v>1</v>
      </c>
      <c r="BD57" s="2290"/>
      <c r="BE57" s="2290"/>
      <c r="BF57" s="3441"/>
      <c r="BG57" s="2632"/>
      <c r="BH57" s="3400"/>
      <c r="BI57" s="2632"/>
      <c r="BJ57" s="2290" t="s">
        <v>733</v>
      </c>
    </row>
    <row r="58" spans="1:62" s="413" customFormat="1" ht="15" x14ac:dyDescent="0.2">
      <c r="A58" s="3415"/>
      <c r="B58" s="3416"/>
      <c r="C58" s="3417"/>
      <c r="D58" s="3415"/>
      <c r="E58" s="3416"/>
      <c r="F58" s="3417"/>
      <c r="G58" s="555">
        <v>30</v>
      </c>
      <c r="H58" s="555" t="s">
        <v>734</v>
      </c>
      <c r="I58" s="555"/>
      <c r="J58" s="50"/>
      <c r="K58" s="412"/>
      <c r="L58" s="50"/>
      <c r="M58" s="50"/>
      <c r="N58" s="411"/>
      <c r="O58" s="50"/>
      <c r="P58" s="50"/>
      <c r="Q58" s="50"/>
      <c r="R58" s="50"/>
      <c r="S58" s="50"/>
      <c r="T58" s="50"/>
      <c r="U58" s="50"/>
      <c r="V58" s="50"/>
      <c r="W58" s="646"/>
      <c r="X58" s="647"/>
      <c r="Y58" s="647"/>
      <c r="Z58" s="50"/>
      <c r="AA58" s="50"/>
      <c r="AB58" s="50"/>
      <c r="AC58" s="411"/>
      <c r="AD58" s="50"/>
      <c r="AE58" s="411"/>
      <c r="AF58" s="50"/>
      <c r="AG58" s="411"/>
      <c r="AH58" s="50"/>
      <c r="AI58" s="411"/>
      <c r="AJ58" s="50"/>
      <c r="AK58" s="411"/>
      <c r="AL58" s="50"/>
      <c r="AM58" s="411"/>
      <c r="AN58" s="50"/>
      <c r="AO58" s="411"/>
      <c r="AP58" s="50"/>
      <c r="AQ58" s="411"/>
      <c r="AR58" s="50"/>
      <c r="AS58" s="411"/>
      <c r="AT58" s="50"/>
      <c r="AU58" s="411"/>
      <c r="AV58" s="50"/>
      <c r="AW58" s="411"/>
      <c r="AX58" s="50"/>
      <c r="AY58" s="411"/>
      <c r="AZ58" s="50"/>
      <c r="BA58" s="50"/>
      <c r="BB58" s="50"/>
      <c r="BC58" s="50"/>
      <c r="BD58" s="50"/>
      <c r="BE58" s="50"/>
      <c r="BF58" s="50"/>
      <c r="BG58" s="411"/>
      <c r="BH58" s="50"/>
      <c r="BI58" s="411"/>
      <c r="BJ58" s="50"/>
    </row>
    <row r="59" spans="1:62" ht="46.5" customHeight="1" x14ac:dyDescent="0.2">
      <c r="A59" s="3415"/>
      <c r="B59" s="3416"/>
      <c r="C59" s="3417"/>
      <c r="D59" s="3415"/>
      <c r="E59" s="3416"/>
      <c r="F59" s="3417"/>
      <c r="G59" s="3042" t="s">
        <v>197</v>
      </c>
      <c r="H59" s="3408"/>
      <c r="I59" s="3409"/>
      <c r="J59" s="3455">
        <v>117</v>
      </c>
      <c r="K59" s="2604" t="s">
        <v>735</v>
      </c>
      <c r="L59" s="2604" t="s">
        <v>736</v>
      </c>
      <c r="M59" s="3447">
        <v>1</v>
      </c>
      <c r="N59" s="3443">
        <v>1</v>
      </c>
      <c r="O59" s="2604" t="s">
        <v>737</v>
      </c>
      <c r="P59" s="2626">
        <v>47</v>
      </c>
      <c r="Q59" s="2604" t="s">
        <v>738</v>
      </c>
      <c r="R59" s="2291">
        <f>W59/S59</f>
        <v>0.52839997959669671</v>
      </c>
      <c r="S59" s="3427">
        <v>53011024</v>
      </c>
      <c r="T59" s="2604" t="s">
        <v>683</v>
      </c>
      <c r="U59" s="2129" t="s">
        <v>739</v>
      </c>
      <c r="V59" s="2129" t="s">
        <v>740</v>
      </c>
      <c r="W59" s="2296">
        <v>28011024</v>
      </c>
      <c r="X59" s="2295"/>
      <c r="Y59" s="2295"/>
      <c r="Z59" s="3401">
        <v>39</v>
      </c>
      <c r="AA59" s="2626" t="s">
        <v>741</v>
      </c>
      <c r="AB59" s="3403">
        <v>0</v>
      </c>
      <c r="AC59" s="3405"/>
      <c r="AD59" s="3403">
        <v>0</v>
      </c>
      <c r="AE59" s="3405"/>
      <c r="AF59" s="3403">
        <v>0</v>
      </c>
      <c r="AG59" s="3405"/>
      <c r="AH59" s="3403">
        <v>40000</v>
      </c>
      <c r="AI59" s="3405"/>
      <c r="AJ59" s="3403">
        <v>100000</v>
      </c>
      <c r="AK59" s="3405"/>
      <c r="AL59" s="3403"/>
      <c r="AM59" s="3405"/>
      <c r="AN59" s="3403">
        <v>500</v>
      </c>
      <c r="AO59" s="3405"/>
      <c r="AP59" s="3403">
        <v>500</v>
      </c>
      <c r="AQ59" s="3405"/>
      <c r="AR59" s="3403">
        <v>200</v>
      </c>
      <c r="AS59" s="3405"/>
      <c r="AT59" s="3403"/>
      <c r="AU59" s="3405"/>
      <c r="AV59" s="3403">
        <v>16897</v>
      </c>
      <c r="AW59" s="3405"/>
      <c r="AX59" s="3403"/>
      <c r="AY59" s="3405"/>
      <c r="AZ59" s="3401">
        <v>1</v>
      </c>
      <c r="BA59" s="2678">
        <v>6083334</v>
      </c>
      <c r="BB59" s="2678">
        <v>6083334</v>
      </c>
      <c r="BC59" s="3448">
        <f>BB59/BA59</f>
        <v>1</v>
      </c>
      <c r="BD59" s="3401"/>
      <c r="BE59" s="3401" t="s">
        <v>742</v>
      </c>
      <c r="BF59" s="3402">
        <v>42583</v>
      </c>
      <c r="BG59" s="3444">
        <v>42655</v>
      </c>
      <c r="BH59" s="3445">
        <v>42735</v>
      </c>
      <c r="BI59" s="3444">
        <v>42724</v>
      </c>
      <c r="BJ59" s="3401" t="s">
        <v>688</v>
      </c>
    </row>
    <row r="60" spans="1:62" ht="54.75" customHeight="1" x14ac:dyDescent="0.2">
      <c r="A60" s="3415"/>
      <c r="B60" s="3416"/>
      <c r="C60" s="3417"/>
      <c r="D60" s="3415"/>
      <c r="E60" s="3416"/>
      <c r="F60" s="3417"/>
      <c r="G60" s="3044"/>
      <c r="H60" s="3410"/>
      <c r="I60" s="3411"/>
      <c r="J60" s="3455"/>
      <c r="K60" s="2604"/>
      <c r="L60" s="2604"/>
      <c r="M60" s="3447"/>
      <c r="N60" s="3443"/>
      <c r="O60" s="2604"/>
      <c r="P60" s="2626"/>
      <c r="Q60" s="2604"/>
      <c r="R60" s="2291">
        <f>W60/S59</f>
        <v>0.20750400897745344</v>
      </c>
      <c r="S60" s="3427"/>
      <c r="T60" s="2604"/>
      <c r="U60" s="2129" t="s">
        <v>743</v>
      </c>
      <c r="V60" s="2129" t="s">
        <v>744</v>
      </c>
      <c r="W60" s="2292">
        <v>11000000</v>
      </c>
      <c r="X60" s="2295">
        <v>6083334</v>
      </c>
      <c r="Y60" s="2295">
        <v>6083334</v>
      </c>
      <c r="Z60" s="3401"/>
      <c r="AA60" s="2626"/>
      <c r="AB60" s="3403"/>
      <c r="AC60" s="3405"/>
      <c r="AD60" s="3403"/>
      <c r="AE60" s="3405"/>
      <c r="AF60" s="3403"/>
      <c r="AG60" s="3405"/>
      <c r="AH60" s="3403"/>
      <c r="AI60" s="3405"/>
      <c r="AJ60" s="3403"/>
      <c r="AK60" s="3405"/>
      <c r="AL60" s="3403"/>
      <c r="AM60" s="3405"/>
      <c r="AN60" s="3403"/>
      <c r="AO60" s="3405"/>
      <c r="AP60" s="3403"/>
      <c r="AQ60" s="3405"/>
      <c r="AR60" s="3403"/>
      <c r="AS60" s="3405"/>
      <c r="AT60" s="3403"/>
      <c r="AU60" s="3405"/>
      <c r="AV60" s="3403"/>
      <c r="AW60" s="3405"/>
      <c r="AX60" s="3403"/>
      <c r="AY60" s="3405"/>
      <c r="AZ60" s="3401"/>
      <c r="BA60" s="2678"/>
      <c r="BB60" s="2678"/>
      <c r="BC60" s="3448"/>
      <c r="BD60" s="3401"/>
      <c r="BE60" s="3401"/>
      <c r="BF60" s="3402"/>
      <c r="BG60" s="3444"/>
      <c r="BH60" s="3445"/>
      <c r="BI60" s="3444"/>
      <c r="BJ60" s="3401"/>
    </row>
    <row r="61" spans="1:62" ht="54.75" customHeight="1" x14ac:dyDescent="0.2">
      <c r="A61" s="3415"/>
      <c r="B61" s="3416"/>
      <c r="C61" s="3417"/>
      <c r="D61" s="3415"/>
      <c r="E61" s="3416"/>
      <c r="F61" s="3417"/>
      <c r="G61" s="3046"/>
      <c r="H61" s="3424"/>
      <c r="I61" s="3425"/>
      <c r="J61" s="3455"/>
      <c r="K61" s="2604"/>
      <c r="L61" s="2604"/>
      <c r="M61" s="3447"/>
      <c r="N61" s="3443"/>
      <c r="O61" s="2604"/>
      <c r="P61" s="2626"/>
      <c r="Q61" s="2604"/>
      <c r="R61" s="2291">
        <f>W61/S59</f>
        <v>0.26409601142584982</v>
      </c>
      <c r="S61" s="3427"/>
      <c r="T61" s="2604"/>
      <c r="U61" s="2129" t="s">
        <v>745</v>
      </c>
      <c r="V61" s="2129" t="s">
        <v>746</v>
      </c>
      <c r="W61" s="2292">
        <v>14000000</v>
      </c>
      <c r="X61" s="2295"/>
      <c r="Y61" s="2295"/>
      <c r="Z61" s="3401"/>
      <c r="AA61" s="2626"/>
      <c r="AB61" s="3403"/>
      <c r="AC61" s="3405"/>
      <c r="AD61" s="3403"/>
      <c r="AE61" s="3405"/>
      <c r="AF61" s="3403"/>
      <c r="AG61" s="3405"/>
      <c r="AH61" s="3403"/>
      <c r="AI61" s="3405"/>
      <c r="AJ61" s="3403"/>
      <c r="AK61" s="3405"/>
      <c r="AL61" s="3403"/>
      <c r="AM61" s="3405"/>
      <c r="AN61" s="3403"/>
      <c r="AO61" s="3405"/>
      <c r="AP61" s="3403"/>
      <c r="AQ61" s="3405"/>
      <c r="AR61" s="3403"/>
      <c r="AS61" s="3405"/>
      <c r="AT61" s="3403"/>
      <c r="AU61" s="3405"/>
      <c r="AV61" s="3403"/>
      <c r="AW61" s="3405"/>
      <c r="AX61" s="3403"/>
      <c r="AY61" s="3405"/>
      <c r="AZ61" s="3401"/>
      <c r="BA61" s="2678"/>
      <c r="BB61" s="2678"/>
      <c r="BC61" s="3448"/>
      <c r="BD61" s="3401"/>
      <c r="BE61" s="3401"/>
      <c r="BF61" s="3402"/>
      <c r="BG61" s="3444"/>
      <c r="BH61" s="3445"/>
      <c r="BI61" s="3444"/>
      <c r="BJ61" s="3401"/>
    </row>
    <row r="62" spans="1:62" s="413" customFormat="1" ht="15" x14ac:dyDescent="0.2">
      <c r="A62" s="3415"/>
      <c r="B62" s="3416"/>
      <c r="C62" s="3417"/>
      <c r="D62" s="3415"/>
      <c r="E62" s="3416"/>
      <c r="F62" s="3417"/>
      <c r="G62" s="657">
        <v>31</v>
      </c>
      <c r="H62" s="657" t="s">
        <v>747</v>
      </c>
      <c r="I62" s="657"/>
      <c r="J62" s="657"/>
      <c r="K62" s="659"/>
      <c r="L62" s="657"/>
      <c r="M62" s="657"/>
      <c r="N62" s="658"/>
      <c r="O62" s="657"/>
      <c r="P62" s="657"/>
      <c r="Q62" s="659"/>
      <c r="R62" s="657"/>
      <c r="S62" s="657"/>
      <c r="T62" s="659"/>
      <c r="U62" s="659"/>
      <c r="V62" s="659"/>
      <c r="W62" s="660"/>
      <c r="X62" s="661"/>
      <c r="Y62" s="661"/>
      <c r="Z62" s="662"/>
      <c r="AA62" s="660"/>
      <c r="AB62" s="657"/>
      <c r="AC62" s="658"/>
      <c r="AD62" s="657"/>
      <c r="AE62" s="658"/>
      <c r="AF62" s="657"/>
      <c r="AG62" s="658"/>
      <c r="AH62" s="657"/>
      <c r="AI62" s="658"/>
      <c r="AJ62" s="657"/>
      <c r="AK62" s="658"/>
      <c r="AL62" s="657"/>
      <c r="AM62" s="658"/>
      <c r="AN62" s="657"/>
      <c r="AO62" s="658"/>
      <c r="AP62" s="657"/>
      <c r="AQ62" s="658"/>
      <c r="AR62" s="657"/>
      <c r="AS62" s="658"/>
      <c r="AT62" s="657"/>
      <c r="AU62" s="658"/>
      <c r="AV62" s="657"/>
      <c r="AW62" s="658"/>
      <c r="AX62" s="657"/>
      <c r="AY62" s="658"/>
      <c r="AZ62" s="657"/>
      <c r="BA62" s="657"/>
      <c r="BB62" s="657"/>
      <c r="BC62" s="657"/>
      <c r="BD62" s="657"/>
      <c r="BE62" s="657"/>
      <c r="BF62" s="660"/>
      <c r="BG62" s="661"/>
      <c r="BH62" s="660"/>
      <c r="BI62" s="661"/>
      <c r="BJ62" s="663"/>
    </row>
    <row r="63" spans="1:62" ht="95.25" customHeight="1" x14ac:dyDescent="0.2">
      <c r="A63" s="3415"/>
      <c r="B63" s="3416"/>
      <c r="C63" s="3417"/>
      <c r="D63" s="3415"/>
      <c r="E63" s="3416"/>
      <c r="F63" s="3417"/>
      <c r="G63" s="3042" t="s">
        <v>197</v>
      </c>
      <c r="H63" s="3408"/>
      <c r="I63" s="3409"/>
      <c r="J63" s="3455">
        <v>118</v>
      </c>
      <c r="K63" s="2604" t="s">
        <v>748</v>
      </c>
      <c r="L63" s="2604" t="s">
        <v>749</v>
      </c>
      <c r="M63" s="3447">
        <v>4</v>
      </c>
      <c r="N63" s="3443">
        <v>5</v>
      </c>
      <c r="O63" s="2677" t="s">
        <v>750</v>
      </c>
      <c r="P63" s="2626">
        <v>48</v>
      </c>
      <c r="Q63" s="2604" t="s">
        <v>751</v>
      </c>
      <c r="R63" s="2610">
        <f>W63/S63</f>
        <v>1</v>
      </c>
      <c r="S63" s="3427">
        <v>187431667</v>
      </c>
      <c r="T63" s="2604" t="s">
        <v>695</v>
      </c>
      <c r="U63" s="2386" t="s">
        <v>752</v>
      </c>
      <c r="V63" s="2386" t="s">
        <v>753</v>
      </c>
      <c r="W63" s="2584">
        <v>187431667</v>
      </c>
      <c r="X63" s="2657">
        <v>154620667</v>
      </c>
      <c r="Y63" s="2657">
        <v>154620667</v>
      </c>
      <c r="Z63" s="3446">
        <v>34</v>
      </c>
      <c r="AA63" s="2626" t="s">
        <v>754</v>
      </c>
      <c r="AB63" s="3403">
        <v>64149</v>
      </c>
      <c r="AC63" s="3405"/>
      <c r="AD63" s="3403">
        <v>72224</v>
      </c>
      <c r="AE63" s="3405"/>
      <c r="AF63" s="3403">
        <v>27477</v>
      </c>
      <c r="AG63" s="3405"/>
      <c r="AH63" s="3403">
        <v>86843</v>
      </c>
      <c r="AI63" s="3405"/>
      <c r="AJ63" s="3403">
        <v>236429</v>
      </c>
      <c r="AK63" s="3405"/>
      <c r="AL63" s="3403"/>
      <c r="AM63" s="3405"/>
      <c r="AN63" s="3403">
        <v>13208</v>
      </c>
      <c r="AO63" s="3405"/>
      <c r="AP63" s="3403">
        <v>1817</v>
      </c>
      <c r="AQ63" s="3405"/>
      <c r="AR63" s="3403">
        <v>520</v>
      </c>
      <c r="AS63" s="3405"/>
      <c r="AT63" s="3403"/>
      <c r="AU63" s="3405"/>
      <c r="AV63" s="3403">
        <v>16897</v>
      </c>
      <c r="AW63" s="3405"/>
      <c r="AX63" s="3403"/>
      <c r="AY63" s="3405"/>
      <c r="AZ63" s="2678">
        <v>7</v>
      </c>
      <c r="BA63" s="2678">
        <f>X63</f>
        <v>154620667</v>
      </c>
      <c r="BB63" s="2678">
        <f>Y63</f>
        <v>154620667</v>
      </c>
      <c r="BC63" s="2619">
        <f>+BB63/BA63</f>
        <v>1</v>
      </c>
      <c r="BD63" s="3401" t="s">
        <v>755</v>
      </c>
      <c r="BE63" s="655" t="s">
        <v>756</v>
      </c>
      <c r="BF63" s="3402">
        <v>42583</v>
      </c>
      <c r="BG63" s="3444">
        <v>42622</v>
      </c>
      <c r="BH63" s="3445">
        <v>42735</v>
      </c>
      <c r="BI63" s="3444">
        <v>42735</v>
      </c>
      <c r="BJ63" s="3401" t="s">
        <v>757</v>
      </c>
    </row>
    <row r="64" spans="1:62" ht="49.5" customHeight="1" x14ac:dyDescent="0.2">
      <c r="A64" s="3415"/>
      <c r="B64" s="3416"/>
      <c r="C64" s="3417"/>
      <c r="D64" s="3415"/>
      <c r="E64" s="3416"/>
      <c r="F64" s="3417"/>
      <c r="G64" s="3044"/>
      <c r="H64" s="3410"/>
      <c r="I64" s="3411"/>
      <c r="J64" s="3455"/>
      <c r="K64" s="2604"/>
      <c r="L64" s="2604"/>
      <c r="M64" s="3447"/>
      <c r="N64" s="3443"/>
      <c r="O64" s="2677"/>
      <c r="P64" s="2626"/>
      <c r="Q64" s="2604"/>
      <c r="R64" s="2611"/>
      <c r="S64" s="3427"/>
      <c r="T64" s="2604"/>
      <c r="U64" s="2707" t="s">
        <v>758</v>
      </c>
      <c r="V64" s="2707" t="s">
        <v>759</v>
      </c>
      <c r="W64" s="2585"/>
      <c r="X64" s="2658"/>
      <c r="Y64" s="2658"/>
      <c r="Z64" s="3446"/>
      <c r="AA64" s="2626"/>
      <c r="AB64" s="3403"/>
      <c r="AC64" s="3405"/>
      <c r="AD64" s="3403"/>
      <c r="AE64" s="3405"/>
      <c r="AF64" s="3403"/>
      <c r="AG64" s="3405"/>
      <c r="AH64" s="3403"/>
      <c r="AI64" s="3405"/>
      <c r="AJ64" s="3403"/>
      <c r="AK64" s="3405"/>
      <c r="AL64" s="3403"/>
      <c r="AM64" s="3405"/>
      <c r="AN64" s="3403"/>
      <c r="AO64" s="3405"/>
      <c r="AP64" s="3403"/>
      <c r="AQ64" s="3405"/>
      <c r="AR64" s="3403"/>
      <c r="AS64" s="3405"/>
      <c r="AT64" s="3403"/>
      <c r="AU64" s="3405"/>
      <c r="AV64" s="3403"/>
      <c r="AW64" s="3405"/>
      <c r="AX64" s="3403"/>
      <c r="AY64" s="3405"/>
      <c r="AZ64" s="2678"/>
      <c r="BA64" s="2678"/>
      <c r="BB64" s="2678"/>
      <c r="BC64" s="2619"/>
      <c r="BD64" s="3401"/>
      <c r="BE64" s="655" t="s">
        <v>727</v>
      </c>
      <c r="BF64" s="3402"/>
      <c r="BG64" s="3444"/>
      <c r="BH64" s="3445"/>
      <c r="BI64" s="3444"/>
      <c r="BJ64" s="3401"/>
    </row>
    <row r="65" spans="1:63" ht="49.5" customHeight="1" x14ac:dyDescent="0.2">
      <c r="A65" s="3415"/>
      <c r="B65" s="3416"/>
      <c r="C65" s="3417"/>
      <c r="D65" s="3415"/>
      <c r="E65" s="3416"/>
      <c r="F65" s="3417"/>
      <c r="G65" s="3044"/>
      <c r="H65" s="3410"/>
      <c r="I65" s="3411"/>
      <c r="J65" s="3455"/>
      <c r="K65" s="2604"/>
      <c r="L65" s="2604"/>
      <c r="M65" s="3447"/>
      <c r="N65" s="3443"/>
      <c r="O65" s="2677"/>
      <c r="P65" s="2626"/>
      <c r="Q65" s="2604"/>
      <c r="R65" s="2611"/>
      <c r="S65" s="3427"/>
      <c r="T65" s="2604"/>
      <c r="U65" s="2709"/>
      <c r="V65" s="2709"/>
      <c r="W65" s="2585"/>
      <c r="X65" s="2658"/>
      <c r="Y65" s="2658"/>
      <c r="Z65" s="3446"/>
      <c r="AA65" s="2626"/>
      <c r="AB65" s="3403"/>
      <c r="AC65" s="3405"/>
      <c r="AD65" s="3403"/>
      <c r="AE65" s="3405"/>
      <c r="AF65" s="3403"/>
      <c r="AG65" s="3405"/>
      <c r="AH65" s="3403"/>
      <c r="AI65" s="3405"/>
      <c r="AJ65" s="3403"/>
      <c r="AK65" s="3405"/>
      <c r="AL65" s="3403"/>
      <c r="AM65" s="3405"/>
      <c r="AN65" s="3403"/>
      <c r="AO65" s="3405"/>
      <c r="AP65" s="3403"/>
      <c r="AQ65" s="3405"/>
      <c r="AR65" s="3403"/>
      <c r="AS65" s="3405"/>
      <c r="AT65" s="3403"/>
      <c r="AU65" s="3405"/>
      <c r="AV65" s="3403"/>
      <c r="AW65" s="3405"/>
      <c r="AX65" s="3403"/>
      <c r="AY65" s="3405"/>
      <c r="AZ65" s="2678"/>
      <c r="BA65" s="2678"/>
      <c r="BB65" s="2678"/>
      <c r="BC65" s="2619"/>
      <c r="BD65" s="3401"/>
      <c r="BE65" s="655" t="s">
        <v>717</v>
      </c>
      <c r="BF65" s="3402"/>
      <c r="BG65" s="3444"/>
      <c r="BH65" s="3445"/>
      <c r="BI65" s="3444"/>
      <c r="BJ65" s="3401"/>
    </row>
    <row r="66" spans="1:63" ht="57" customHeight="1" x14ac:dyDescent="0.2">
      <c r="A66" s="3415"/>
      <c r="B66" s="3416"/>
      <c r="C66" s="3417"/>
      <c r="D66" s="3418"/>
      <c r="E66" s="3419"/>
      <c r="F66" s="3420"/>
      <c r="G66" s="3046"/>
      <c r="H66" s="3424"/>
      <c r="I66" s="3425"/>
      <c r="J66" s="3455"/>
      <c r="K66" s="2604"/>
      <c r="L66" s="2604"/>
      <c r="M66" s="3447"/>
      <c r="N66" s="3443"/>
      <c r="O66" s="2677"/>
      <c r="P66" s="2626"/>
      <c r="Q66" s="2604"/>
      <c r="R66" s="3421"/>
      <c r="S66" s="3427"/>
      <c r="T66" s="2604"/>
      <c r="U66" s="2386" t="s">
        <v>760</v>
      </c>
      <c r="V66" s="2386" t="s">
        <v>761</v>
      </c>
      <c r="W66" s="2586"/>
      <c r="X66" s="2659"/>
      <c r="Y66" s="2659"/>
      <c r="Z66" s="3446"/>
      <c r="AA66" s="2626"/>
      <c r="AB66" s="3403"/>
      <c r="AC66" s="3405"/>
      <c r="AD66" s="3403"/>
      <c r="AE66" s="3405"/>
      <c r="AF66" s="3403"/>
      <c r="AG66" s="3405"/>
      <c r="AH66" s="3403"/>
      <c r="AI66" s="3405"/>
      <c r="AJ66" s="3403"/>
      <c r="AK66" s="3405"/>
      <c r="AL66" s="3403"/>
      <c r="AM66" s="3405"/>
      <c r="AN66" s="3403"/>
      <c r="AO66" s="3405"/>
      <c r="AP66" s="3403"/>
      <c r="AQ66" s="3405"/>
      <c r="AR66" s="3403"/>
      <c r="AS66" s="3405"/>
      <c r="AT66" s="3403"/>
      <c r="AU66" s="3405"/>
      <c r="AV66" s="3403"/>
      <c r="AW66" s="3405"/>
      <c r="AX66" s="3403"/>
      <c r="AY66" s="3405"/>
      <c r="AZ66" s="2678"/>
      <c r="BA66" s="2678"/>
      <c r="BB66" s="2678"/>
      <c r="BC66" s="2619"/>
      <c r="BD66" s="3401"/>
      <c r="BE66" s="655" t="s">
        <v>716</v>
      </c>
      <c r="BF66" s="3402"/>
      <c r="BG66" s="3444"/>
      <c r="BH66" s="3445"/>
      <c r="BI66" s="3444"/>
      <c r="BJ66" s="3401"/>
    </row>
    <row r="67" spans="1:63" s="413" customFormat="1" ht="15" x14ac:dyDescent="0.2">
      <c r="A67" s="3415"/>
      <c r="B67" s="3416"/>
      <c r="C67" s="3417"/>
      <c r="D67" s="664">
        <v>10</v>
      </c>
      <c r="E67" s="665" t="s">
        <v>762</v>
      </c>
      <c r="F67" s="547"/>
      <c r="G67" s="547"/>
      <c r="H67" s="547"/>
      <c r="I67" s="547"/>
      <c r="J67" s="547"/>
      <c r="K67" s="1569"/>
      <c r="L67" s="666"/>
      <c r="M67" s="666"/>
      <c r="N67" s="667"/>
      <c r="O67" s="666"/>
      <c r="P67" s="666"/>
      <c r="Q67" s="668"/>
      <c r="R67" s="666"/>
      <c r="S67" s="666"/>
      <c r="T67" s="668"/>
      <c r="U67" s="668"/>
      <c r="V67" s="668"/>
      <c r="W67" s="669"/>
      <c r="X67" s="670"/>
      <c r="Y67" s="670"/>
      <c r="Z67" s="671"/>
      <c r="AA67" s="669"/>
      <c r="AB67" s="666"/>
      <c r="AC67" s="667"/>
      <c r="AD67" s="666"/>
      <c r="AE67" s="667"/>
      <c r="AF67" s="666"/>
      <c r="AG67" s="667"/>
      <c r="AH67" s="666"/>
      <c r="AI67" s="667"/>
      <c r="AJ67" s="666"/>
      <c r="AK67" s="667"/>
      <c r="AL67" s="666"/>
      <c r="AM67" s="667"/>
      <c r="AN67" s="666"/>
      <c r="AO67" s="667"/>
      <c r="AP67" s="666"/>
      <c r="AQ67" s="667"/>
      <c r="AR67" s="666"/>
      <c r="AS67" s="667"/>
      <c r="AT67" s="666"/>
      <c r="AU67" s="667"/>
      <c r="AV67" s="666"/>
      <c r="AW67" s="667"/>
      <c r="AX67" s="666"/>
      <c r="AY67" s="667"/>
      <c r="AZ67" s="666"/>
      <c r="BA67" s="666"/>
      <c r="BB67" s="666"/>
      <c r="BC67" s="666"/>
      <c r="BD67" s="666"/>
      <c r="BE67" s="666"/>
      <c r="BF67" s="669"/>
      <c r="BG67" s="670"/>
      <c r="BH67" s="669"/>
      <c r="BI67" s="670"/>
      <c r="BJ67" s="672"/>
    </row>
    <row r="68" spans="1:63" s="413" customFormat="1" ht="15" x14ac:dyDescent="0.2">
      <c r="A68" s="3415"/>
      <c r="B68" s="3416"/>
      <c r="C68" s="3417"/>
      <c r="D68" s="3422"/>
      <c r="E68" s="2976"/>
      <c r="F68" s="2982"/>
      <c r="G68" s="673">
        <v>32</v>
      </c>
      <c r="H68" s="555" t="s">
        <v>763</v>
      </c>
      <c r="I68" s="555"/>
      <c r="J68" s="555"/>
      <c r="K68" s="1570"/>
      <c r="L68" s="657"/>
      <c r="M68" s="657"/>
      <c r="N68" s="658"/>
      <c r="O68" s="657"/>
      <c r="P68" s="657"/>
      <c r="Q68" s="659"/>
      <c r="R68" s="657"/>
      <c r="S68" s="657"/>
      <c r="T68" s="659"/>
      <c r="U68" s="659"/>
      <c r="V68" s="659"/>
      <c r="W68" s="660"/>
      <c r="X68" s="661"/>
      <c r="Y68" s="661"/>
      <c r="Z68" s="662"/>
      <c r="AA68" s="660"/>
      <c r="AB68" s="657"/>
      <c r="AC68" s="658"/>
      <c r="AD68" s="657"/>
      <c r="AE68" s="658"/>
      <c r="AF68" s="657"/>
      <c r="AG68" s="658"/>
      <c r="AH68" s="657"/>
      <c r="AI68" s="658"/>
      <c r="AJ68" s="657"/>
      <c r="AK68" s="658"/>
      <c r="AL68" s="657"/>
      <c r="AM68" s="658"/>
      <c r="AN68" s="657"/>
      <c r="AO68" s="658"/>
      <c r="AP68" s="657"/>
      <c r="AQ68" s="658"/>
      <c r="AR68" s="657"/>
      <c r="AS68" s="658"/>
      <c r="AT68" s="657"/>
      <c r="AU68" s="658"/>
      <c r="AV68" s="657"/>
      <c r="AW68" s="658"/>
      <c r="AX68" s="657"/>
      <c r="AY68" s="658"/>
      <c r="AZ68" s="657"/>
      <c r="BA68" s="657"/>
      <c r="BB68" s="657"/>
      <c r="BC68" s="657"/>
      <c r="BD68" s="657"/>
      <c r="BE68" s="657"/>
      <c r="BF68" s="660"/>
      <c r="BG68" s="661"/>
      <c r="BH68" s="660"/>
      <c r="BI68" s="661"/>
      <c r="BJ68" s="663"/>
    </row>
    <row r="69" spans="1:63" ht="51" customHeight="1" x14ac:dyDescent="0.25">
      <c r="A69" s="3415"/>
      <c r="B69" s="3416"/>
      <c r="C69" s="3417"/>
      <c r="D69" s="3423"/>
      <c r="E69" s="2977"/>
      <c r="F69" s="2983"/>
      <c r="G69" s="3042" t="s">
        <v>197</v>
      </c>
      <c r="H69" s="3408"/>
      <c r="I69" s="3409"/>
      <c r="J69" s="3426">
        <v>119</v>
      </c>
      <c r="K69" s="2604" t="s">
        <v>764</v>
      </c>
      <c r="L69" s="2604" t="s">
        <v>765</v>
      </c>
      <c r="M69" s="3442">
        <v>7</v>
      </c>
      <c r="N69" s="3443">
        <v>7</v>
      </c>
      <c r="O69" s="2543" t="s">
        <v>766</v>
      </c>
      <c r="P69" s="2626">
        <v>49</v>
      </c>
      <c r="Q69" s="2604" t="s">
        <v>767</v>
      </c>
      <c r="R69" s="3434">
        <f>(W69+W70)/S69</f>
        <v>0.72412124434013758</v>
      </c>
      <c r="S69" s="2972">
        <v>372865735</v>
      </c>
      <c r="T69" s="2604" t="s">
        <v>768</v>
      </c>
      <c r="U69" s="2604" t="s">
        <v>769</v>
      </c>
      <c r="V69" s="2604" t="s">
        <v>770</v>
      </c>
      <c r="W69" s="2133">
        <v>210000000</v>
      </c>
      <c r="X69" s="2660">
        <v>218252651</v>
      </c>
      <c r="Y69" s="2660">
        <v>218252651</v>
      </c>
      <c r="Z69" s="2290">
        <v>109</v>
      </c>
      <c r="AA69" s="2129" t="s">
        <v>771</v>
      </c>
      <c r="AB69" s="3403">
        <v>64149</v>
      </c>
      <c r="AC69" s="3405"/>
      <c r="AD69" s="3403">
        <v>72224</v>
      </c>
      <c r="AE69" s="3405"/>
      <c r="AF69" s="3403">
        <v>27477</v>
      </c>
      <c r="AG69" s="3405"/>
      <c r="AH69" s="3403">
        <v>86843</v>
      </c>
      <c r="AI69" s="3405"/>
      <c r="AJ69" s="3403">
        <v>236429</v>
      </c>
      <c r="AK69" s="3405"/>
      <c r="AL69" s="3403"/>
      <c r="AM69" s="3405"/>
      <c r="AN69" s="3403">
        <v>13208</v>
      </c>
      <c r="AO69" s="3405"/>
      <c r="AP69" s="3403">
        <v>1817</v>
      </c>
      <c r="AQ69" s="3405"/>
      <c r="AR69" s="3403">
        <v>520</v>
      </c>
      <c r="AS69" s="3405"/>
      <c r="AT69" s="3403"/>
      <c r="AU69" s="3405"/>
      <c r="AV69" s="3403">
        <v>16897</v>
      </c>
      <c r="AW69" s="3405"/>
      <c r="AX69" s="3403"/>
      <c r="AY69" s="3405"/>
      <c r="AZ69" s="2602">
        <v>8</v>
      </c>
      <c r="BA69" s="2602">
        <v>218252651</v>
      </c>
      <c r="BB69" s="2602">
        <v>185252651</v>
      </c>
      <c r="BC69" s="2620">
        <f>BB69/BA69</f>
        <v>0.84879908743926324</v>
      </c>
      <c r="BD69" s="2129" t="s">
        <v>771</v>
      </c>
      <c r="BE69" s="2602" t="s">
        <v>716</v>
      </c>
      <c r="BF69" s="2593">
        <v>42583</v>
      </c>
      <c r="BG69" s="3436">
        <v>42444</v>
      </c>
      <c r="BH69" s="3439">
        <v>42735</v>
      </c>
      <c r="BI69" s="3436">
        <v>42727</v>
      </c>
      <c r="BJ69" s="3401" t="s">
        <v>772</v>
      </c>
      <c r="BK69" s="674"/>
    </row>
    <row r="70" spans="1:63" ht="63" customHeight="1" x14ac:dyDescent="0.25">
      <c r="A70" s="3415"/>
      <c r="B70" s="3416"/>
      <c r="C70" s="3417"/>
      <c r="D70" s="3423"/>
      <c r="E70" s="2977"/>
      <c r="F70" s="2983"/>
      <c r="G70" s="3044"/>
      <c r="H70" s="3410"/>
      <c r="I70" s="3411"/>
      <c r="J70" s="3426"/>
      <c r="K70" s="2604"/>
      <c r="L70" s="2604"/>
      <c r="M70" s="3442"/>
      <c r="N70" s="3443"/>
      <c r="O70" s="2543" t="s">
        <v>773</v>
      </c>
      <c r="P70" s="2626"/>
      <c r="Q70" s="2604"/>
      <c r="R70" s="3434"/>
      <c r="S70" s="2972"/>
      <c r="T70" s="2604"/>
      <c r="U70" s="2604"/>
      <c r="V70" s="2604"/>
      <c r="W70" s="2133">
        <v>60000000</v>
      </c>
      <c r="X70" s="2661"/>
      <c r="Y70" s="2661"/>
      <c r="Z70" s="2290">
        <v>20</v>
      </c>
      <c r="AA70" s="2129" t="s">
        <v>310</v>
      </c>
      <c r="AB70" s="3403"/>
      <c r="AC70" s="3405"/>
      <c r="AD70" s="3403"/>
      <c r="AE70" s="3405"/>
      <c r="AF70" s="3403"/>
      <c r="AG70" s="3405"/>
      <c r="AH70" s="3403"/>
      <c r="AI70" s="3405"/>
      <c r="AJ70" s="3403"/>
      <c r="AK70" s="3405"/>
      <c r="AL70" s="3403"/>
      <c r="AM70" s="3405"/>
      <c r="AN70" s="3403"/>
      <c r="AO70" s="3405"/>
      <c r="AP70" s="3403"/>
      <c r="AQ70" s="3405"/>
      <c r="AR70" s="3403"/>
      <c r="AS70" s="3405"/>
      <c r="AT70" s="3403"/>
      <c r="AU70" s="3405"/>
      <c r="AV70" s="3403"/>
      <c r="AW70" s="3405"/>
      <c r="AX70" s="3403"/>
      <c r="AY70" s="3405"/>
      <c r="AZ70" s="2603"/>
      <c r="BA70" s="2603"/>
      <c r="BB70" s="2603"/>
      <c r="BC70" s="2966"/>
      <c r="BD70" s="2290" t="s">
        <v>714</v>
      </c>
      <c r="BE70" s="2603"/>
      <c r="BF70" s="2594"/>
      <c r="BG70" s="3437"/>
      <c r="BH70" s="3440"/>
      <c r="BI70" s="3437"/>
      <c r="BJ70" s="3401"/>
      <c r="BK70" s="674"/>
    </row>
    <row r="71" spans="1:63" ht="75.75" customHeight="1" x14ac:dyDescent="0.25">
      <c r="A71" s="3415"/>
      <c r="B71" s="3416"/>
      <c r="C71" s="3417"/>
      <c r="D71" s="3423"/>
      <c r="E71" s="2977"/>
      <c r="F71" s="2983"/>
      <c r="G71" s="3044"/>
      <c r="H71" s="3410"/>
      <c r="I71" s="3411"/>
      <c r="J71" s="3426"/>
      <c r="K71" s="2604"/>
      <c r="L71" s="2604"/>
      <c r="M71" s="3442"/>
      <c r="N71" s="3443"/>
      <c r="O71" s="2543" t="s">
        <v>774</v>
      </c>
      <c r="P71" s="2626"/>
      <c r="Q71" s="2604"/>
      <c r="R71" s="2291">
        <f>W71/S69</f>
        <v>0.15263506312801844</v>
      </c>
      <c r="S71" s="2972"/>
      <c r="T71" s="2604"/>
      <c r="U71" s="2129" t="s">
        <v>775</v>
      </c>
      <c r="V71" s="2129" t="s">
        <v>776</v>
      </c>
      <c r="W71" s="2133">
        <f>65000000-8087615</f>
        <v>56912385</v>
      </c>
      <c r="X71" s="2661"/>
      <c r="Y71" s="2661"/>
      <c r="Z71" s="2290">
        <v>93</v>
      </c>
      <c r="AA71" s="2129" t="s">
        <v>777</v>
      </c>
      <c r="AB71" s="3403"/>
      <c r="AC71" s="3405"/>
      <c r="AD71" s="3403"/>
      <c r="AE71" s="3405"/>
      <c r="AF71" s="3403"/>
      <c r="AG71" s="3405"/>
      <c r="AH71" s="3403"/>
      <c r="AI71" s="3405"/>
      <c r="AJ71" s="3403"/>
      <c r="AK71" s="3405"/>
      <c r="AL71" s="3403"/>
      <c r="AM71" s="3405"/>
      <c r="AN71" s="3403"/>
      <c r="AO71" s="3405"/>
      <c r="AP71" s="3403"/>
      <c r="AQ71" s="3405"/>
      <c r="AR71" s="3403"/>
      <c r="AS71" s="3405"/>
      <c r="AT71" s="3403"/>
      <c r="AU71" s="3405"/>
      <c r="AV71" s="3403"/>
      <c r="AW71" s="3405"/>
      <c r="AX71" s="3403"/>
      <c r="AY71" s="3405"/>
      <c r="AZ71" s="2603"/>
      <c r="BA71" s="2603"/>
      <c r="BB71" s="2603"/>
      <c r="BC71" s="2966"/>
      <c r="BD71" s="2129" t="s">
        <v>777</v>
      </c>
      <c r="BE71" s="2603"/>
      <c r="BF71" s="2594"/>
      <c r="BG71" s="3437"/>
      <c r="BH71" s="3440"/>
      <c r="BI71" s="3437"/>
      <c r="BJ71" s="3401"/>
      <c r="BK71" s="674"/>
    </row>
    <row r="72" spans="1:63" ht="84" customHeight="1" x14ac:dyDescent="0.25">
      <c r="A72" s="3415"/>
      <c r="B72" s="3416"/>
      <c r="C72" s="3417"/>
      <c r="D72" s="3423"/>
      <c r="E72" s="2977"/>
      <c r="F72" s="2983"/>
      <c r="G72" s="3044"/>
      <c r="H72" s="3410"/>
      <c r="I72" s="3411"/>
      <c r="J72" s="3426"/>
      <c r="K72" s="2604"/>
      <c r="L72" s="2604"/>
      <c r="M72" s="3442"/>
      <c r="N72" s="3443"/>
      <c r="O72" s="2543" t="s">
        <v>778</v>
      </c>
      <c r="P72" s="2626"/>
      <c r="Q72" s="2604"/>
      <c r="R72" s="2291">
        <f>W72/S69</f>
        <v>2.9376123821085356E-2</v>
      </c>
      <c r="S72" s="2972"/>
      <c r="T72" s="2604"/>
      <c r="U72" s="2129" t="s">
        <v>779</v>
      </c>
      <c r="V72" s="2129" t="s">
        <v>780</v>
      </c>
      <c r="W72" s="2133">
        <f>23032525-12079175</f>
        <v>10953350</v>
      </c>
      <c r="X72" s="2661"/>
      <c r="Y72" s="2661"/>
      <c r="Z72" s="2290">
        <v>47</v>
      </c>
      <c r="AA72" s="2129" t="s">
        <v>781</v>
      </c>
      <c r="AB72" s="3403"/>
      <c r="AC72" s="3405"/>
      <c r="AD72" s="3403"/>
      <c r="AE72" s="3405"/>
      <c r="AF72" s="3403"/>
      <c r="AG72" s="3405"/>
      <c r="AH72" s="3403"/>
      <c r="AI72" s="3405"/>
      <c r="AJ72" s="3403"/>
      <c r="AK72" s="3405"/>
      <c r="AL72" s="3403"/>
      <c r="AM72" s="3405"/>
      <c r="AN72" s="3403"/>
      <c r="AO72" s="3405"/>
      <c r="AP72" s="3403"/>
      <c r="AQ72" s="3405"/>
      <c r="AR72" s="3403"/>
      <c r="AS72" s="3405"/>
      <c r="AT72" s="3403"/>
      <c r="AU72" s="3405"/>
      <c r="AV72" s="3403"/>
      <c r="AW72" s="3405"/>
      <c r="AX72" s="3403"/>
      <c r="AY72" s="3405"/>
      <c r="AZ72" s="2603"/>
      <c r="BA72" s="2603"/>
      <c r="BB72" s="2603"/>
      <c r="BC72" s="2966"/>
      <c r="BD72" s="2129" t="s">
        <v>781</v>
      </c>
      <c r="BE72" s="2603"/>
      <c r="BF72" s="2594"/>
      <c r="BG72" s="3437"/>
      <c r="BH72" s="3440"/>
      <c r="BI72" s="3437"/>
      <c r="BJ72" s="3401"/>
      <c r="BK72" s="674"/>
    </row>
    <row r="73" spans="1:63" ht="40.5" customHeight="1" x14ac:dyDescent="0.25">
      <c r="A73" s="3415"/>
      <c r="B73" s="3416"/>
      <c r="C73" s="3417"/>
      <c r="D73" s="3423"/>
      <c r="E73" s="2977"/>
      <c r="F73" s="2983"/>
      <c r="G73" s="3046"/>
      <c r="H73" s="3424"/>
      <c r="I73" s="3425"/>
      <c r="J73" s="3426"/>
      <c r="K73" s="2604"/>
      <c r="L73" s="2604"/>
      <c r="M73" s="3442"/>
      <c r="N73" s="3443"/>
      <c r="O73" s="2543"/>
      <c r="P73" s="2626"/>
      <c r="Q73" s="2604"/>
      <c r="R73" s="2291">
        <f>W73/S69</f>
        <v>9.3867568710758575E-2</v>
      </c>
      <c r="S73" s="2972"/>
      <c r="T73" s="2604"/>
      <c r="U73" s="2129" t="s">
        <v>782</v>
      </c>
      <c r="V73" s="2129" t="s">
        <v>783</v>
      </c>
      <c r="W73" s="2133">
        <v>35000000</v>
      </c>
      <c r="X73" s="2662"/>
      <c r="Y73" s="2662"/>
      <c r="Z73" s="2290"/>
      <c r="AA73" s="2129"/>
      <c r="AB73" s="3403"/>
      <c r="AC73" s="3405"/>
      <c r="AD73" s="3403"/>
      <c r="AE73" s="3405"/>
      <c r="AF73" s="3403"/>
      <c r="AG73" s="3405"/>
      <c r="AH73" s="3403"/>
      <c r="AI73" s="3405"/>
      <c r="AJ73" s="3403"/>
      <c r="AK73" s="3405"/>
      <c r="AL73" s="3403"/>
      <c r="AM73" s="3405"/>
      <c r="AN73" s="3403"/>
      <c r="AO73" s="3405"/>
      <c r="AP73" s="3403"/>
      <c r="AQ73" s="3405"/>
      <c r="AR73" s="3403"/>
      <c r="AS73" s="3405"/>
      <c r="AT73" s="3403"/>
      <c r="AU73" s="3405"/>
      <c r="AV73" s="3403"/>
      <c r="AW73" s="3405"/>
      <c r="AX73" s="3403"/>
      <c r="AY73" s="3405"/>
      <c r="AZ73" s="3435"/>
      <c r="BA73" s="3435"/>
      <c r="BB73" s="3435"/>
      <c r="BC73" s="2967"/>
      <c r="BD73" s="2290"/>
      <c r="BE73" s="3435"/>
      <c r="BF73" s="3400"/>
      <c r="BG73" s="3438"/>
      <c r="BH73" s="3441"/>
      <c r="BI73" s="3438"/>
      <c r="BJ73" s="3401"/>
      <c r="BK73" s="674"/>
    </row>
    <row r="74" spans="1:63" s="413" customFormat="1" ht="15" x14ac:dyDescent="0.2">
      <c r="A74" s="3415"/>
      <c r="B74" s="3416"/>
      <c r="C74" s="3417"/>
      <c r="D74" s="3423"/>
      <c r="E74" s="2977"/>
      <c r="F74" s="2983"/>
      <c r="G74" s="673">
        <v>33</v>
      </c>
      <c r="H74" s="555" t="s">
        <v>784</v>
      </c>
      <c r="I74" s="555"/>
      <c r="J74" s="555"/>
      <c r="K74" s="1570"/>
      <c r="L74" s="657"/>
      <c r="M74" s="657"/>
      <c r="N74" s="658"/>
      <c r="O74" s="657"/>
      <c r="P74" s="657"/>
      <c r="Q74" s="659"/>
      <c r="R74" s="657"/>
      <c r="S74" s="657"/>
      <c r="T74" s="659"/>
      <c r="U74" s="659"/>
      <c r="V74" s="659"/>
      <c r="W74" s="660"/>
      <c r="X74" s="661"/>
      <c r="Y74" s="661"/>
      <c r="Z74" s="662"/>
      <c r="AA74" s="660"/>
      <c r="AB74" s="657"/>
      <c r="AC74" s="658"/>
      <c r="AD74" s="657"/>
      <c r="AE74" s="658"/>
      <c r="AF74" s="657"/>
      <c r="AG74" s="658"/>
      <c r="AH74" s="657"/>
      <c r="AI74" s="658"/>
      <c r="AJ74" s="657"/>
      <c r="AK74" s="658"/>
      <c r="AL74" s="657"/>
      <c r="AM74" s="658"/>
      <c r="AN74" s="657"/>
      <c r="AO74" s="658"/>
      <c r="AP74" s="657"/>
      <c r="AQ74" s="658"/>
      <c r="AR74" s="657"/>
      <c r="AS74" s="658"/>
      <c r="AT74" s="657"/>
      <c r="AU74" s="658"/>
      <c r="AV74" s="657"/>
      <c r="AW74" s="658"/>
      <c r="AX74" s="657"/>
      <c r="AY74" s="658"/>
      <c r="AZ74" s="657"/>
      <c r="BA74" s="657"/>
      <c r="BB74" s="657"/>
      <c r="BC74" s="657"/>
      <c r="BD74" s="657"/>
      <c r="BE74" s="657"/>
      <c r="BF74" s="660"/>
      <c r="BG74" s="661"/>
      <c r="BH74" s="660"/>
      <c r="BI74" s="661"/>
      <c r="BJ74" s="663"/>
    </row>
    <row r="75" spans="1:63" ht="90" customHeight="1" x14ac:dyDescent="0.2">
      <c r="A75" s="3415"/>
      <c r="B75" s="3416"/>
      <c r="C75" s="3417"/>
      <c r="D75" s="3423"/>
      <c r="E75" s="2977"/>
      <c r="F75" s="2983"/>
      <c r="G75" s="3042" t="s">
        <v>197</v>
      </c>
      <c r="H75" s="3408"/>
      <c r="I75" s="3409"/>
      <c r="J75" s="2284">
        <v>120</v>
      </c>
      <c r="K75" s="2568" t="s">
        <v>785</v>
      </c>
      <c r="L75" s="2129" t="s">
        <v>765</v>
      </c>
      <c r="M75" s="2287">
        <v>2</v>
      </c>
      <c r="N75" s="2288">
        <v>2</v>
      </c>
      <c r="O75" s="2604" t="s">
        <v>786</v>
      </c>
      <c r="P75" s="2626">
        <v>50</v>
      </c>
      <c r="Q75" s="2604" t="s">
        <v>787</v>
      </c>
      <c r="R75" s="2299">
        <f>W75/(S75+S76)</f>
        <v>0.5</v>
      </c>
      <c r="S75" s="2133">
        <v>15000000</v>
      </c>
      <c r="T75" s="2604" t="s">
        <v>788</v>
      </c>
      <c r="U75" s="2129" t="s">
        <v>789</v>
      </c>
      <c r="V75" s="2129" t="s">
        <v>790</v>
      </c>
      <c r="W75" s="2133">
        <v>15000000</v>
      </c>
      <c r="X75" s="198">
        <v>13000000</v>
      </c>
      <c r="Y75" s="2295">
        <v>13000000</v>
      </c>
      <c r="Z75" s="3401">
        <v>20</v>
      </c>
      <c r="AA75" s="2626" t="s">
        <v>686</v>
      </c>
      <c r="AB75" s="3403">
        <v>0</v>
      </c>
      <c r="AC75" s="3405"/>
      <c r="AD75" s="3403">
        <v>0</v>
      </c>
      <c r="AE75" s="3405"/>
      <c r="AF75" s="3403">
        <v>0</v>
      </c>
      <c r="AG75" s="3405"/>
      <c r="AH75" s="3403">
        <v>40000</v>
      </c>
      <c r="AI75" s="3405"/>
      <c r="AJ75" s="3403">
        <v>100000</v>
      </c>
      <c r="AK75" s="3405"/>
      <c r="AL75" s="3403"/>
      <c r="AM75" s="3405"/>
      <c r="AN75" s="3403">
        <v>500</v>
      </c>
      <c r="AO75" s="3405"/>
      <c r="AP75" s="3403">
        <v>500</v>
      </c>
      <c r="AQ75" s="3405"/>
      <c r="AR75" s="3403">
        <v>200</v>
      </c>
      <c r="AS75" s="3405"/>
      <c r="AT75" s="3403"/>
      <c r="AU75" s="3405"/>
      <c r="AV75" s="3403">
        <v>16897</v>
      </c>
      <c r="AW75" s="3405"/>
      <c r="AX75" s="3403"/>
      <c r="AY75" s="3405"/>
      <c r="AZ75" s="2678">
        <v>2</v>
      </c>
      <c r="BA75" s="2678">
        <v>28000000</v>
      </c>
      <c r="BB75" s="2678">
        <v>28000000</v>
      </c>
      <c r="BC75" s="2619">
        <f>BB75/BA75</f>
        <v>1</v>
      </c>
      <c r="BD75" s="3401" t="s">
        <v>791</v>
      </c>
      <c r="BE75" s="655" t="s">
        <v>792</v>
      </c>
      <c r="BF75" s="3402">
        <v>42583</v>
      </c>
      <c r="BG75" s="2613">
        <v>42664</v>
      </c>
      <c r="BH75" s="3402">
        <v>42735</v>
      </c>
      <c r="BI75" s="2613">
        <v>42735</v>
      </c>
      <c r="BJ75" s="3401" t="s">
        <v>688</v>
      </c>
    </row>
    <row r="76" spans="1:63" ht="114.75" customHeight="1" thickBot="1" x14ac:dyDescent="0.25">
      <c r="A76" s="3415"/>
      <c r="B76" s="3416"/>
      <c r="C76" s="3417"/>
      <c r="D76" s="3423"/>
      <c r="E76" s="2977"/>
      <c r="F76" s="2983"/>
      <c r="G76" s="3044"/>
      <c r="H76" s="3410"/>
      <c r="I76" s="3411"/>
      <c r="J76" s="2285">
        <v>121</v>
      </c>
      <c r="K76" s="2569" t="s">
        <v>793</v>
      </c>
      <c r="L76" s="2130" t="s">
        <v>794</v>
      </c>
      <c r="M76" s="1928">
        <v>4</v>
      </c>
      <c r="N76" s="2305">
        <v>4</v>
      </c>
      <c r="O76" s="2605"/>
      <c r="P76" s="2600"/>
      <c r="Q76" s="2605"/>
      <c r="R76" s="2435">
        <f>W76/(S75+S76)</f>
        <v>0.5</v>
      </c>
      <c r="S76" s="2134">
        <v>15000000</v>
      </c>
      <c r="T76" s="2605"/>
      <c r="U76" s="2130" t="s">
        <v>795</v>
      </c>
      <c r="V76" s="2130" t="s">
        <v>796</v>
      </c>
      <c r="W76" s="2134">
        <v>15000000</v>
      </c>
      <c r="X76" s="2128">
        <v>15000000</v>
      </c>
      <c r="Y76" s="2128">
        <v>15000000</v>
      </c>
      <c r="Z76" s="2602"/>
      <c r="AA76" s="2600"/>
      <c r="AB76" s="3404"/>
      <c r="AC76" s="3406"/>
      <c r="AD76" s="3404"/>
      <c r="AE76" s="3406"/>
      <c r="AF76" s="3404"/>
      <c r="AG76" s="3406"/>
      <c r="AH76" s="3404"/>
      <c r="AI76" s="3406"/>
      <c r="AJ76" s="3404"/>
      <c r="AK76" s="3406"/>
      <c r="AL76" s="3404"/>
      <c r="AM76" s="3406"/>
      <c r="AN76" s="3404"/>
      <c r="AO76" s="3406"/>
      <c r="AP76" s="3404"/>
      <c r="AQ76" s="3406"/>
      <c r="AR76" s="3404"/>
      <c r="AS76" s="3406"/>
      <c r="AT76" s="3404"/>
      <c r="AU76" s="3406"/>
      <c r="AV76" s="3404"/>
      <c r="AW76" s="3406"/>
      <c r="AX76" s="3404"/>
      <c r="AY76" s="3406"/>
      <c r="AZ76" s="2633"/>
      <c r="BA76" s="2633"/>
      <c r="BB76" s="2633"/>
      <c r="BC76" s="2620"/>
      <c r="BD76" s="2602"/>
      <c r="BE76" s="653" t="s">
        <v>797</v>
      </c>
      <c r="BF76" s="2593"/>
      <c r="BG76" s="2614"/>
      <c r="BH76" s="2593"/>
      <c r="BI76" s="2614"/>
      <c r="BJ76" s="2602"/>
    </row>
    <row r="77" spans="1:63" s="680" customFormat="1" ht="27" customHeight="1" thickBot="1" x14ac:dyDescent="0.3">
      <c r="A77" s="2960" t="s">
        <v>119</v>
      </c>
      <c r="B77" s="2961"/>
      <c r="C77" s="2961"/>
      <c r="D77" s="2961"/>
      <c r="E77" s="2961"/>
      <c r="F77" s="2961"/>
      <c r="G77" s="2961"/>
      <c r="H77" s="2961"/>
      <c r="I77" s="2961"/>
      <c r="J77" s="2961"/>
      <c r="K77" s="2961"/>
      <c r="L77" s="2961"/>
      <c r="M77" s="2961"/>
      <c r="N77" s="2961"/>
      <c r="O77" s="2961"/>
      <c r="P77" s="2961"/>
      <c r="Q77" s="2961"/>
      <c r="R77" s="3407"/>
      <c r="S77" s="1929">
        <f>SUM(S18:S76)</f>
        <v>3371718420</v>
      </c>
      <c r="T77" s="1930"/>
      <c r="U77" s="1930"/>
      <c r="V77" s="1931"/>
      <c r="W77" s="1932">
        <f>SUM(W18:W76)</f>
        <v>3371718420</v>
      </c>
      <c r="X77" s="1933">
        <f>SUM(X18:X76)</f>
        <v>1743879683</v>
      </c>
      <c r="Y77" s="1933">
        <f>SUM(Y18:Y76)</f>
        <v>1743879683</v>
      </c>
      <c r="Z77" s="1934"/>
      <c r="AA77" s="1931"/>
      <c r="AB77" s="1935"/>
      <c r="AC77" s="1936"/>
      <c r="AD77" s="1935"/>
      <c r="AE77" s="1936"/>
      <c r="AF77" s="1935"/>
      <c r="AG77" s="1936"/>
      <c r="AH77" s="1935"/>
      <c r="AI77" s="1936"/>
      <c r="AJ77" s="1935"/>
      <c r="AK77" s="1936"/>
      <c r="AL77" s="1935"/>
      <c r="AM77" s="1936"/>
      <c r="AN77" s="1935"/>
      <c r="AO77" s="1936"/>
      <c r="AP77" s="1935"/>
      <c r="AQ77" s="1936"/>
      <c r="AR77" s="1935"/>
      <c r="AS77" s="1936"/>
      <c r="AT77" s="1935"/>
      <c r="AU77" s="1936"/>
      <c r="AV77" s="1935"/>
      <c r="AW77" s="1936"/>
      <c r="AX77" s="1935"/>
      <c r="AY77" s="1936"/>
      <c r="AZ77" s="1935"/>
      <c r="BA77" s="1935"/>
      <c r="BB77" s="1935"/>
      <c r="BC77" s="1935"/>
      <c r="BD77" s="1935"/>
      <c r="BE77" s="1935"/>
      <c r="BF77" s="1937"/>
      <c r="BG77" s="1938"/>
      <c r="BH77" s="1939"/>
      <c r="BI77" s="1940"/>
      <c r="BJ77" s="1941"/>
    </row>
    <row r="78" spans="1:63" ht="61.5" customHeight="1" x14ac:dyDescent="0.2">
      <c r="M78" s="2197"/>
      <c r="Y78" s="1894"/>
      <c r="BA78" s="683"/>
      <c r="BB78" s="683"/>
      <c r="BC78" s="684"/>
      <c r="BJ78" s="2456"/>
    </row>
    <row r="79" spans="1:63" ht="15" x14ac:dyDescent="0.25">
      <c r="D79" s="2963" t="s">
        <v>798</v>
      </c>
      <c r="E79" s="2963"/>
      <c r="F79" s="2963"/>
      <c r="G79" s="2963"/>
      <c r="H79" s="2963"/>
      <c r="I79" s="2963"/>
      <c r="M79" s="2197"/>
      <c r="BA79" s="684"/>
      <c r="BB79" s="684"/>
      <c r="BC79" s="684"/>
      <c r="BJ79" s="2456"/>
    </row>
    <row r="80" spans="1:63" x14ac:dyDescent="0.2">
      <c r="D80" s="2964" t="s">
        <v>799</v>
      </c>
      <c r="E80" s="2964"/>
      <c r="F80" s="2964"/>
      <c r="G80" s="2964"/>
      <c r="H80" s="2964"/>
      <c r="I80" s="2964"/>
      <c r="M80" s="2197"/>
      <c r="BA80" s="415"/>
      <c r="BB80" s="415"/>
      <c r="BC80" s="684"/>
      <c r="BJ80" s="2456"/>
    </row>
    <row r="81" spans="10:55" x14ac:dyDescent="0.2">
      <c r="M81" s="2197"/>
      <c r="BA81" s="683"/>
      <c r="BB81" s="683"/>
      <c r="BC81" s="684"/>
    </row>
    <row r="82" spans="10:55" x14ac:dyDescent="0.2">
      <c r="M82" s="2197"/>
      <c r="BA82" s="684"/>
      <c r="BB82" s="684"/>
      <c r="BC82" s="684"/>
    </row>
    <row r="83" spans="10:55" x14ac:dyDescent="0.2">
      <c r="M83" s="2197"/>
      <c r="BA83" s="684"/>
      <c r="BB83" s="684"/>
      <c r="BC83" s="684"/>
    </row>
    <row r="84" spans="10:55" x14ac:dyDescent="0.2">
      <c r="J84" s="685"/>
      <c r="K84" s="416"/>
      <c r="L84" s="685"/>
      <c r="M84" s="686"/>
      <c r="N84" s="687"/>
      <c r="O84" s="685"/>
      <c r="P84" s="685"/>
      <c r="Q84" s="688"/>
      <c r="R84" s="417"/>
      <c r="BA84" s="684"/>
      <c r="BB84" s="684"/>
      <c r="BC84" s="684"/>
    </row>
    <row r="85" spans="10:55" ht="69" customHeight="1" x14ac:dyDescent="0.2">
      <c r="J85" s="685"/>
      <c r="K85" s="2570"/>
      <c r="L85" s="685"/>
      <c r="M85" s="686"/>
      <c r="N85" s="687"/>
      <c r="O85" s="685"/>
      <c r="P85" s="685"/>
      <c r="Q85" s="688"/>
      <c r="R85" s="417"/>
    </row>
    <row r="86" spans="10:55" x14ac:dyDescent="0.2">
      <c r="J86" s="685"/>
      <c r="K86" s="2570"/>
      <c r="L86" s="685"/>
      <c r="M86" s="686"/>
      <c r="N86" s="687"/>
      <c r="O86" s="685"/>
      <c r="P86" s="685"/>
      <c r="Q86" s="688"/>
      <c r="R86" s="417"/>
    </row>
    <row r="87" spans="10:55" ht="16.5" customHeight="1" x14ac:dyDescent="0.2">
      <c r="J87" s="685"/>
      <c r="K87" s="2570"/>
      <c r="L87" s="685"/>
      <c r="M87" s="686"/>
      <c r="N87" s="687"/>
      <c r="O87" s="685"/>
      <c r="P87" s="685"/>
      <c r="Q87" s="689"/>
      <c r="R87" s="417"/>
    </row>
    <row r="88" spans="10:55" x14ac:dyDescent="0.2">
      <c r="J88" s="685"/>
      <c r="K88" s="416"/>
      <c r="L88" s="685"/>
      <c r="M88" s="686"/>
      <c r="N88" s="687"/>
      <c r="O88" s="685"/>
      <c r="P88" s="685"/>
      <c r="Q88" s="689"/>
      <c r="R88" s="417"/>
    </row>
    <row r="89" spans="10:55" x14ac:dyDescent="0.2">
      <c r="J89" s="685"/>
      <c r="K89" s="416"/>
      <c r="L89" s="685"/>
      <c r="M89" s="686"/>
      <c r="N89" s="687"/>
      <c r="O89" s="685"/>
      <c r="P89" s="685"/>
      <c r="Q89" s="689"/>
      <c r="R89" s="417"/>
    </row>
    <row r="90" spans="10:55" x14ac:dyDescent="0.2">
      <c r="J90" s="685"/>
      <c r="K90" s="416"/>
      <c r="L90" s="685"/>
      <c r="M90" s="686"/>
      <c r="N90" s="687"/>
      <c r="O90" s="685"/>
      <c r="P90" s="685"/>
      <c r="Q90" s="688"/>
      <c r="R90" s="417"/>
    </row>
    <row r="91" spans="10:55" x14ac:dyDescent="0.2">
      <c r="J91" s="685"/>
      <c r="K91" s="416"/>
      <c r="L91" s="685"/>
      <c r="M91" s="686"/>
      <c r="N91" s="687"/>
      <c r="O91" s="685"/>
      <c r="P91" s="685"/>
      <c r="Q91" s="688"/>
      <c r="R91" s="417"/>
    </row>
    <row r="92" spans="10:55" x14ac:dyDescent="0.2">
      <c r="J92" s="685"/>
      <c r="K92" s="416"/>
      <c r="L92" s="685"/>
      <c r="M92" s="686"/>
      <c r="N92" s="687"/>
      <c r="O92" s="685"/>
      <c r="P92" s="685"/>
      <c r="Q92" s="688"/>
      <c r="R92" s="417"/>
    </row>
  </sheetData>
  <sheetProtection algorithmName="SHA-512" hashValue="gWrjGxuTIUDQ72Oaql++RKsb7Opkh9QLWjqzXtE1tR+Bdbwwz8WHnQSTVYbJGYxOObCd4r+B1/3AnFjCQvqRcA==" saltValue="XUm1Y/01cPq5XhzfxkVICg==" spinCount="100000" sheet="1" objects="1" scenarios="1"/>
  <mergeCells count="450">
    <mergeCell ref="Q5:BJ5"/>
    <mergeCell ref="Q6:AA6"/>
    <mergeCell ref="AB6:AY6"/>
    <mergeCell ref="BF6:BJ6"/>
    <mergeCell ref="A1:BF4"/>
    <mergeCell ref="A5:M6"/>
    <mergeCell ref="A7:A14"/>
    <mergeCell ref="B7:C14"/>
    <mergeCell ref="D7:D14"/>
    <mergeCell ref="E7:F14"/>
    <mergeCell ref="G7:G14"/>
    <mergeCell ref="H7:I14"/>
    <mergeCell ref="J7:J14"/>
    <mergeCell ref="R7:R14"/>
    <mergeCell ref="S7:S14"/>
    <mergeCell ref="T7:T14"/>
    <mergeCell ref="U7:U14"/>
    <mergeCell ref="V7:V14"/>
    <mergeCell ref="W7:Y13"/>
    <mergeCell ref="K7:K14"/>
    <mergeCell ref="L7:L14"/>
    <mergeCell ref="M7:N13"/>
    <mergeCell ref="O7:O14"/>
    <mergeCell ref="P7:P14"/>
    <mergeCell ref="Q7:Q14"/>
    <mergeCell ref="Z7:Z14"/>
    <mergeCell ref="AA7:AA14"/>
    <mergeCell ref="BH7:BI13"/>
    <mergeCell ref="BJ7:BJ14"/>
    <mergeCell ref="AB13:AC13"/>
    <mergeCell ref="AD13:AE13"/>
    <mergeCell ref="AF13:AG13"/>
    <mergeCell ref="AH13:AI13"/>
    <mergeCell ref="AJ13:AK13"/>
    <mergeCell ref="AL13:AM13"/>
    <mergeCell ref="AN13:AO13"/>
    <mergeCell ref="AP13:AQ13"/>
    <mergeCell ref="AB7:AM7"/>
    <mergeCell ref="AN7:AY7"/>
    <mergeCell ref="AZ7:BE7"/>
    <mergeCell ref="BF7:BG13"/>
    <mergeCell ref="AR13:AS13"/>
    <mergeCell ref="AT13:AU13"/>
    <mergeCell ref="AV13:AW13"/>
    <mergeCell ref="AX13:AY13"/>
    <mergeCell ref="AZ13:AZ14"/>
    <mergeCell ref="BA13:BA14"/>
    <mergeCell ref="BB13:BB14"/>
    <mergeCell ref="BC13:BC14"/>
    <mergeCell ref="BD13:BD14"/>
    <mergeCell ref="BE13:BE14"/>
    <mergeCell ref="L18:L26"/>
    <mergeCell ref="J30:J31"/>
    <mergeCell ref="K30:K31"/>
    <mergeCell ref="L30:L31"/>
    <mergeCell ref="G63:G66"/>
    <mergeCell ref="G59:G61"/>
    <mergeCell ref="H59:I61"/>
    <mergeCell ref="J59:J61"/>
    <mergeCell ref="K59:K61"/>
    <mergeCell ref="L59:L61"/>
    <mergeCell ref="H63:I66"/>
    <mergeCell ref="J63:J66"/>
    <mergeCell ref="K63:K66"/>
    <mergeCell ref="L63:L66"/>
    <mergeCell ref="J37:J56"/>
    <mergeCell ref="K37:K56"/>
    <mergeCell ref="J18:J26"/>
    <mergeCell ref="K18:K26"/>
    <mergeCell ref="T18:T26"/>
    <mergeCell ref="Z18:Z26"/>
    <mergeCell ref="AA18:AA26"/>
    <mergeCell ref="AB18:AB26"/>
    <mergeCell ref="AC18:AC26"/>
    <mergeCell ref="AD18:AD26"/>
    <mergeCell ref="M18:M26"/>
    <mergeCell ref="N18:N26"/>
    <mergeCell ref="O18:O26"/>
    <mergeCell ref="P18:P26"/>
    <mergeCell ref="Q18:Q26"/>
    <mergeCell ref="S18:S26"/>
    <mergeCell ref="AU18:AU26"/>
    <mergeCell ref="AV18:AV26"/>
    <mergeCell ref="AK18:AK26"/>
    <mergeCell ref="AL18:AL26"/>
    <mergeCell ref="AM18:AM26"/>
    <mergeCell ref="AN18:AN26"/>
    <mergeCell ref="AO18:AO26"/>
    <mergeCell ref="AP18:AP26"/>
    <mergeCell ref="AE18:AE26"/>
    <mergeCell ref="AF18:AF26"/>
    <mergeCell ref="AG18:AG26"/>
    <mergeCell ref="AH18:AH26"/>
    <mergeCell ref="AI18:AI26"/>
    <mergeCell ref="AJ18:AJ26"/>
    <mergeCell ref="BI18:BI26"/>
    <mergeCell ref="BJ18:BJ26"/>
    <mergeCell ref="X19:X26"/>
    <mergeCell ref="Y19:Y26"/>
    <mergeCell ref="R20:R26"/>
    <mergeCell ref="U20:U26"/>
    <mergeCell ref="V20:V26"/>
    <mergeCell ref="W20:W26"/>
    <mergeCell ref="BC18:BC26"/>
    <mergeCell ref="BD18:BD26"/>
    <mergeCell ref="BE18:BE26"/>
    <mergeCell ref="BF18:BF26"/>
    <mergeCell ref="BG18:BG26"/>
    <mergeCell ref="BH18:BH26"/>
    <mergeCell ref="AW18:AW26"/>
    <mergeCell ref="AX18:AX26"/>
    <mergeCell ref="AY18:AY26"/>
    <mergeCell ref="AZ18:AZ26"/>
    <mergeCell ref="BA18:BA26"/>
    <mergeCell ref="BB18:BB26"/>
    <mergeCell ref="AQ18:AQ26"/>
    <mergeCell ref="AR18:AR26"/>
    <mergeCell ref="AS18:AS26"/>
    <mergeCell ref="AT18:AT26"/>
    <mergeCell ref="T30:T31"/>
    <mergeCell ref="U30:U31"/>
    <mergeCell ref="Z30:Z31"/>
    <mergeCell ref="AA30:AA31"/>
    <mergeCell ref="AB30:AB31"/>
    <mergeCell ref="AC30:AC31"/>
    <mergeCell ref="M30:M31"/>
    <mergeCell ref="N30:N31"/>
    <mergeCell ref="O30:O31"/>
    <mergeCell ref="P30:P31"/>
    <mergeCell ref="Q30:Q31"/>
    <mergeCell ref="S30:S31"/>
    <mergeCell ref="BI30:BI31"/>
    <mergeCell ref="BJ30:BJ31"/>
    <mergeCell ref="J33:J36"/>
    <mergeCell ref="K33:K36"/>
    <mergeCell ref="L33:L57"/>
    <mergeCell ref="M33:M36"/>
    <mergeCell ref="N33:N36"/>
    <mergeCell ref="O33:O36"/>
    <mergeCell ref="P33:P57"/>
    <mergeCell ref="BB30:BB31"/>
    <mergeCell ref="BC30:BC31"/>
    <mergeCell ref="BD30:BD31"/>
    <mergeCell ref="BE30:BE31"/>
    <mergeCell ref="BF30:BF31"/>
    <mergeCell ref="BG30:BG31"/>
    <mergeCell ref="AV30:AV31"/>
    <mergeCell ref="AW30:AW31"/>
    <mergeCell ref="AX30:AX31"/>
    <mergeCell ref="AY30:AY31"/>
    <mergeCell ref="AZ30:AZ31"/>
    <mergeCell ref="BA30:BA31"/>
    <mergeCell ref="AP30:AP31"/>
    <mergeCell ref="AQ30:AQ31"/>
    <mergeCell ref="AR30:AR31"/>
    <mergeCell ref="AD30:AD31"/>
    <mergeCell ref="AE30:AE31"/>
    <mergeCell ref="AF30:AF31"/>
    <mergeCell ref="AG30:AG31"/>
    <mergeCell ref="AH30:AH31"/>
    <mergeCell ref="AI30:AI31"/>
    <mergeCell ref="BG33:BG57"/>
    <mergeCell ref="AU33:AU36"/>
    <mergeCell ref="AV33:AV36"/>
    <mergeCell ref="AW33:AW36"/>
    <mergeCell ref="AZ33:AZ57"/>
    <mergeCell ref="AU37:AU56"/>
    <mergeCell ref="AV37:AV56"/>
    <mergeCell ref="BE34:BE35"/>
    <mergeCell ref="BF33:BF57"/>
    <mergeCell ref="AI33:AI36"/>
    <mergeCell ref="AJ33:AJ36"/>
    <mergeCell ref="AK33:AK36"/>
    <mergeCell ref="AL33:AL36"/>
    <mergeCell ref="AM33:AM36"/>
    <mergeCell ref="AN33:AN36"/>
    <mergeCell ref="BA33:BA36"/>
    <mergeCell ref="BB33:BB36"/>
    <mergeCell ref="BC33:BC36"/>
    <mergeCell ref="BH30:BH31"/>
    <mergeCell ref="AS30:AS31"/>
    <mergeCell ref="AT30:AT31"/>
    <mergeCell ref="AU30:AU31"/>
    <mergeCell ref="AJ30:AJ31"/>
    <mergeCell ref="AK30:AK31"/>
    <mergeCell ref="AL30:AL31"/>
    <mergeCell ref="AM30:AM31"/>
    <mergeCell ref="AN30:AN31"/>
    <mergeCell ref="AO30:AO31"/>
    <mergeCell ref="BD33:BD36"/>
    <mergeCell ref="AO33:AO36"/>
    <mergeCell ref="AP33:AP36"/>
    <mergeCell ref="AQ33:AQ36"/>
    <mergeCell ref="AR33:AR36"/>
    <mergeCell ref="AS33:AS36"/>
    <mergeCell ref="AT33:AT36"/>
    <mergeCell ref="AH33:AH36"/>
    <mergeCell ref="W33:W36"/>
    <mergeCell ref="X33:X36"/>
    <mergeCell ref="Y33:Y36"/>
    <mergeCell ref="Z33:Z36"/>
    <mergeCell ref="AA33:AA36"/>
    <mergeCell ref="AB33:AB36"/>
    <mergeCell ref="AX33:AX36"/>
    <mergeCell ref="AY33:AY36"/>
    <mergeCell ref="T33:T57"/>
    <mergeCell ref="AC33:AC36"/>
    <mergeCell ref="W37:W56"/>
    <mergeCell ref="X37:X56"/>
    <mergeCell ref="Y37:Y56"/>
    <mergeCell ref="AD33:AD36"/>
    <mergeCell ref="AE33:AE36"/>
    <mergeCell ref="AF33:AF36"/>
    <mergeCell ref="AG33:AG36"/>
    <mergeCell ref="U33:U36"/>
    <mergeCell ref="V33:V36"/>
    <mergeCell ref="U37:U56"/>
    <mergeCell ref="V37:V56"/>
    <mergeCell ref="BG59:BG61"/>
    <mergeCell ref="BH59:BH61"/>
    <mergeCell ref="BI59:BI61"/>
    <mergeCell ref="BI33:BI57"/>
    <mergeCell ref="BJ33:BJ36"/>
    <mergeCell ref="M59:M61"/>
    <mergeCell ref="N59:N61"/>
    <mergeCell ref="AY37:AY56"/>
    <mergeCell ref="BA37:BA56"/>
    <mergeCell ref="AO37:AO56"/>
    <mergeCell ref="AP37:AP56"/>
    <mergeCell ref="AQ37:AQ56"/>
    <mergeCell ref="AR37:AR56"/>
    <mergeCell ref="AS37:AS56"/>
    <mergeCell ref="AT37:AT56"/>
    <mergeCell ref="AI37:AI56"/>
    <mergeCell ref="AJ37:AJ56"/>
    <mergeCell ref="AK37:AK56"/>
    <mergeCell ref="AL37:AL56"/>
    <mergeCell ref="AM37:AM56"/>
    <mergeCell ref="AN37:AN56"/>
    <mergeCell ref="AC37:AC56"/>
    <mergeCell ref="AD37:AD56"/>
    <mergeCell ref="AE37:AE56"/>
    <mergeCell ref="AF59:AF61"/>
    <mergeCell ref="AS59:AS61"/>
    <mergeCell ref="AT59:AT61"/>
    <mergeCell ref="AU59:AU61"/>
    <mergeCell ref="AV59:AV61"/>
    <mergeCell ref="Z59:Z61"/>
    <mergeCell ref="BJ37:BJ56"/>
    <mergeCell ref="BE44:BE56"/>
    <mergeCell ref="BB37:BB56"/>
    <mergeCell ref="BC37:BC56"/>
    <mergeCell ref="BD37:BD56"/>
    <mergeCell ref="AF37:AF56"/>
    <mergeCell ref="AG37:AG56"/>
    <mergeCell ref="AH37:AH56"/>
    <mergeCell ref="AW59:AW61"/>
    <mergeCell ref="AX59:AX61"/>
    <mergeCell ref="AM59:AM61"/>
    <mergeCell ref="AN59:AN61"/>
    <mergeCell ref="AO59:AO61"/>
    <mergeCell ref="AP59:AP61"/>
    <mergeCell ref="AQ59:AQ61"/>
    <mergeCell ref="AR59:AR61"/>
    <mergeCell ref="BE59:BE61"/>
    <mergeCell ref="BF59:BF61"/>
    <mergeCell ref="AU63:AU66"/>
    <mergeCell ref="AJ63:AJ66"/>
    <mergeCell ref="AK63:AK66"/>
    <mergeCell ref="AL63:AL66"/>
    <mergeCell ref="AM63:AM66"/>
    <mergeCell ref="AN63:AN66"/>
    <mergeCell ref="AO63:AO66"/>
    <mergeCell ref="BI63:BI66"/>
    <mergeCell ref="Z37:Z56"/>
    <mergeCell ref="AA37:AA56"/>
    <mergeCell ref="AB37:AB56"/>
    <mergeCell ref="AW37:AW56"/>
    <mergeCell ref="AX37:AX56"/>
    <mergeCell ref="AG59:AG61"/>
    <mergeCell ref="AH59:AH61"/>
    <mergeCell ref="AI59:AI61"/>
    <mergeCell ref="AJ59:AJ61"/>
    <mergeCell ref="AK59:AK61"/>
    <mergeCell ref="AL59:AL61"/>
    <mergeCell ref="AA59:AA61"/>
    <mergeCell ref="AB59:AB61"/>
    <mergeCell ref="AC59:AC61"/>
    <mergeCell ref="AD59:AD61"/>
    <mergeCell ref="AE59:AE61"/>
    <mergeCell ref="AQ63:AQ66"/>
    <mergeCell ref="S69:S73"/>
    <mergeCell ref="M63:M66"/>
    <mergeCell ref="N63:N66"/>
    <mergeCell ref="AD63:AD66"/>
    <mergeCell ref="AE63:AE66"/>
    <mergeCell ref="AF63:AF66"/>
    <mergeCell ref="AG63:AG66"/>
    <mergeCell ref="BJ59:BJ61"/>
    <mergeCell ref="AY59:AY61"/>
    <mergeCell ref="AZ59:AZ61"/>
    <mergeCell ref="BA59:BA61"/>
    <mergeCell ref="BB59:BB61"/>
    <mergeCell ref="BC59:BC61"/>
    <mergeCell ref="BD59:BD61"/>
    <mergeCell ref="O63:O66"/>
    <mergeCell ref="P63:P66"/>
    <mergeCell ref="Q63:Q66"/>
    <mergeCell ref="S63:S66"/>
    <mergeCell ref="T63:T66"/>
    <mergeCell ref="W63:W66"/>
    <mergeCell ref="AR63:AR66"/>
    <mergeCell ref="AS63:AS66"/>
    <mergeCell ref="AT63:AT66"/>
    <mergeCell ref="BJ63:BJ66"/>
    <mergeCell ref="U64:U65"/>
    <mergeCell ref="V64:V65"/>
    <mergeCell ref="BG63:BG66"/>
    <mergeCell ref="BH63:BH66"/>
    <mergeCell ref="AH63:AH66"/>
    <mergeCell ref="AI63:AI66"/>
    <mergeCell ref="X63:X66"/>
    <mergeCell ref="Y63:Y66"/>
    <mergeCell ref="Z63:Z66"/>
    <mergeCell ref="AA63:AA66"/>
    <mergeCell ref="AB63:AB66"/>
    <mergeCell ref="AC63:AC66"/>
    <mergeCell ref="BB63:BB66"/>
    <mergeCell ref="BC63:BC66"/>
    <mergeCell ref="BD63:BD66"/>
    <mergeCell ref="BF63:BF66"/>
    <mergeCell ref="AV63:AV66"/>
    <mergeCell ref="AW63:AW66"/>
    <mergeCell ref="AX63:AX66"/>
    <mergeCell ref="AY63:AY66"/>
    <mergeCell ref="AZ63:AZ66"/>
    <mergeCell ref="BA63:BA66"/>
    <mergeCell ref="AP63:AP66"/>
    <mergeCell ref="AS69:AS73"/>
    <mergeCell ref="X69:X73"/>
    <mergeCell ref="Y69:Y73"/>
    <mergeCell ref="L69:L73"/>
    <mergeCell ref="M69:M73"/>
    <mergeCell ref="N69:N73"/>
    <mergeCell ref="P69:P73"/>
    <mergeCell ref="Q69:Q73"/>
    <mergeCell ref="R69:R70"/>
    <mergeCell ref="AH69:AH73"/>
    <mergeCell ref="AI69:AI73"/>
    <mergeCell ref="AR69:AR73"/>
    <mergeCell ref="AB69:AB73"/>
    <mergeCell ref="AC69:AC73"/>
    <mergeCell ref="AD69:AD73"/>
    <mergeCell ref="AE69:AE73"/>
    <mergeCell ref="AF69:AF73"/>
    <mergeCell ref="AG69:AG73"/>
    <mergeCell ref="AN69:AN73"/>
    <mergeCell ref="BJ69:BJ73"/>
    <mergeCell ref="AZ69:AZ73"/>
    <mergeCell ref="BA69:BA73"/>
    <mergeCell ref="BB69:BB73"/>
    <mergeCell ref="BC69:BC73"/>
    <mergeCell ref="BE69:BE73"/>
    <mergeCell ref="BF69:BF73"/>
    <mergeCell ref="AT69:AT73"/>
    <mergeCell ref="AU69:AU73"/>
    <mergeCell ref="AV69:AV73"/>
    <mergeCell ref="AW69:AW73"/>
    <mergeCell ref="AX69:AX73"/>
    <mergeCell ref="AY69:AY73"/>
    <mergeCell ref="BG69:BG73"/>
    <mergeCell ref="BH69:BH73"/>
    <mergeCell ref="BI69:BI73"/>
    <mergeCell ref="A16:C76"/>
    <mergeCell ref="D17:F66"/>
    <mergeCell ref="G18:I57"/>
    <mergeCell ref="T69:T73"/>
    <mergeCell ref="U69:U70"/>
    <mergeCell ref="V69:V70"/>
    <mergeCell ref="R63:R66"/>
    <mergeCell ref="D68:F76"/>
    <mergeCell ref="G69:G73"/>
    <mergeCell ref="H69:I73"/>
    <mergeCell ref="J69:J73"/>
    <mergeCell ref="K69:K73"/>
    <mergeCell ref="O59:O61"/>
    <mergeCell ref="P59:P61"/>
    <mergeCell ref="Q59:Q61"/>
    <mergeCell ref="S59:S61"/>
    <mergeCell ref="T59:T61"/>
    <mergeCell ref="M37:M56"/>
    <mergeCell ref="N37:N56"/>
    <mergeCell ref="O37:O56"/>
    <mergeCell ref="R37:R56"/>
    <mergeCell ref="Q33:Q57"/>
    <mergeCell ref="R33:R36"/>
    <mergeCell ref="S33:S57"/>
    <mergeCell ref="AQ75:AQ76"/>
    <mergeCell ref="AF75:AF76"/>
    <mergeCell ref="AG75:AG76"/>
    <mergeCell ref="AH75:AH76"/>
    <mergeCell ref="AI75:AI76"/>
    <mergeCell ref="AJ75:AJ76"/>
    <mergeCell ref="AK75:AK76"/>
    <mergeCell ref="AJ69:AJ73"/>
    <mergeCell ref="AK69:AK73"/>
    <mergeCell ref="AL69:AL73"/>
    <mergeCell ref="AM69:AM73"/>
    <mergeCell ref="AQ69:AQ73"/>
    <mergeCell ref="AO75:AO76"/>
    <mergeCell ref="AP75:AP76"/>
    <mergeCell ref="AO69:AO73"/>
    <mergeCell ref="AP69:AP73"/>
    <mergeCell ref="D79:I79"/>
    <mergeCell ref="Z75:Z76"/>
    <mergeCell ref="AA75:AA76"/>
    <mergeCell ref="AB75:AB76"/>
    <mergeCell ref="AC75:AC76"/>
    <mergeCell ref="AD75:AD76"/>
    <mergeCell ref="AE75:AE76"/>
    <mergeCell ref="G75:G76"/>
    <mergeCell ref="H75:I76"/>
    <mergeCell ref="O75:O76"/>
    <mergeCell ref="P75:P76"/>
    <mergeCell ref="Q75:Q76"/>
    <mergeCell ref="T75:T76"/>
    <mergeCell ref="BH33:BH57"/>
    <mergeCell ref="D80:I80"/>
    <mergeCell ref="BD75:BD76"/>
    <mergeCell ref="BF75:BF76"/>
    <mergeCell ref="BG75:BG76"/>
    <mergeCell ref="BH75:BH76"/>
    <mergeCell ref="BI75:BI76"/>
    <mergeCell ref="BJ75:BJ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L75:AL76"/>
    <mergeCell ref="AM75:AM76"/>
    <mergeCell ref="AN75:AN76"/>
    <mergeCell ref="A77:R7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GW142"/>
  <sheetViews>
    <sheetView topLeftCell="A40" zoomScale="55" zoomScaleNormal="55" workbookViewId="0">
      <selection activeCell="K40" sqref="K1:K1048576"/>
    </sheetView>
  </sheetViews>
  <sheetFormatPr baseColWidth="10" defaultColWidth="11.42578125" defaultRowHeight="14.25" x14ac:dyDescent="0.2"/>
  <cols>
    <col min="1" max="1" width="13.28515625" style="1077" customWidth="1"/>
    <col min="2" max="2" width="4" style="1077" customWidth="1"/>
    <col min="3" max="3" width="18.28515625" style="1077" customWidth="1"/>
    <col min="4" max="4" width="11.85546875" style="1077" customWidth="1"/>
    <col min="5" max="5" width="7.42578125" style="1077" customWidth="1"/>
    <col min="6" max="6" width="12" style="1077" customWidth="1"/>
    <col min="7" max="7" width="11.85546875" style="1077" customWidth="1"/>
    <col min="8" max="8" width="8.5703125" style="1077" customWidth="1"/>
    <col min="9" max="9" width="13.5703125" style="1077" customWidth="1"/>
    <col min="10" max="10" width="13" style="1077" customWidth="1"/>
    <col min="11" max="11" width="33.7109375" style="1946" customWidth="1"/>
    <col min="12" max="12" width="19" style="1077" customWidth="1"/>
    <col min="13" max="13" width="16.5703125" style="1077" customWidth="1"/>
    <col min="14" max="14" width="16.5703125" style="1942" customWidth="1"/>
    <col min="15" max="15" width="31.42578125" style="1077" customWidth="1"/>
    <col min="16" max="16" width="12.5703125" style="1943" customWidth="1"/>
    <col min="17" max="17" width="27.140625" style="1944" customWidth="1"/>
    <col min="18" max="18" width="15.140625" style="1254" customWidth="1"/>
    <col min="19" max="19" width="20.7109375" style="1956" customWidth="1"/>
    <col min="20" max="20" width="26.7109375" style="1077" customWidth="1"/>
    <col min="21" max="21" width="40.140625" style="1077" customWidth="1"/>
    <col min="22" max="22" width="43" style="1946" customWidth="1"/>
    <col min="23" max="23" width="29.7109375" style="1947" customWidth="1"/>
    <col min="24" max="25" width="29.7109375" style="1948" customWidth="1"/>
    <col min="26" max="26" width="15.7109375" style="1949" customWidth="1"/>
    <col min="27" max="27" width="13.85546875" style="1077" customWidth="1"/>
    <col min="28" max="28" width="9.5703125" style="1077" customWidth="1"/>
    <col min="29" max="29" width="9.5703125" style="1942" customWidth="1"/>
    <col min="30" max="30" width="8.5703125" style="1077" customWidth="1"/>
    <col min="31" max="31" width="8.5703125" style="1942" customWidth="1"/>
    <col min="32" max="32" width="7.28515625" style="1077" customWidth="1"/>
    <col min="33" max="33" width="7.28515625" style="1942" customWidth="1"/>
    <col min="34" max="34" width="7.28515625" style="1077" customWidth="1"/>
    <col min="35" max="35" width="7.28515625" style="1942" customWidth="1"/>
    <col min="36" max="36" width="7.28515625" style="1077" customWidth="1"/>
    <col min="37" max="37" width="7.28515625" style="1942" customWidth="1"/>
    <col min="38" max="38" width="7.28515625" style="1077" customWidth="1"/>
    <col min="39" max="39" width="7.28515625" style="1942" customWidth="1"/>
    <col min="40" max="40" width="7.28515625" style="1077" customWidth="1"/>
    <col min="41" max="41" width="7.28515625" style="1942" customWidth="1"/>
    <col min="42" max="42" width="10.140625" style="1077" customWidth="1"/>
    <col min="43" max="43" width="7.28515625" style="1942" customWidth="1"/>
    <col min="44" max="44" width="12.28515625" style="1077" customWidth="1"/>
    <col min="45" max="45" width="11.28515625" style="1942" customWidth="1"/>
    <col min="46" max="46" width="11.140625" style="1077" customWidth="1"/>
    <col min="47" max="47" width="10.5703125" style="1942" customWidth="1"/>
    <col min="48" max="48" width="12.5703125" style="1077" customWidth="1"/>
    <col min="49" max="49" width="12.5703125" style="1942" customWidth="1"/>
    <col min="50" max="50" width="15.7109375" style="1251" customWidth="1"/>
    <col min="51" max="51" width="20.7109375" style="1252" customWidth="1"/>
    <col min="52" max="52" width="21" style="1251" customWidth="1"/>
    <col min="53" max="53" width="21.7109375" style="1253" customWidth="1"/>
    <col min="54" max="54" width="25.140625" style="1251" customWidth="1"/>
    <col min="55" max="55" width="18.85546875" style="1251" customWidth="1"/>
    <col min="56" max="56" width="18.85546875" style="1254" customWidth="1"/>
    <col min="57" max="57" width="25.5703125" style="1254" customWidth="1"/>
    <col min="58" max="58" width="22.7109375" style="1950" customWidth="1"/>
    <col min="59" max="59" width="22.7109375" style="1951" customWidth="1"/>
    <col min="60" max="60" width="22.7109375" style="1952" customWidth="1"/>
    <col min="61" max="61" width="22.7109375" style="1953" customWidth="1"/>
    <col min="62" max="62" width="28.7109375" style="1077" customWidth="1"/>
    <col min="63" max="63" width="15.7109375" style="1077" bestFit="1" customWidth="1"/>
    <col min="64" max="16384" width="11.42578125" style="1077"/>
  </cols>
  <sheetData>
    <row r="1" spans="1:63" s="4" customFormat="1" ht="15" customHeight="1" x14ac:dyDescent="0.25">
      <c r="A1" s="2742" t="s">
        <v>0</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742"/>
      <c r="AQ1" s="2742"/>
      <c r="AR1" s="2742"/>
      <c r="AS1" s="2742"/>
      <c r="AT1" s="2742"/>
      <c r="AU1" s="2742"/>
      <c r="AV1" s="2742"/>
      <c r="AW1" s="2742"/>
      <c r="AX1" s="2742"/>
      <c r="AY1" s="2742"/>
      <c r="AZ1" s="2742"/>
      <c r="BA1" s="2742"/>
      <c r="BB1" s="2742"/>
      <c r="BC1" s="2742"/>
      <c r="BD1" s="2742"/>
      <c r="BE1" s="2742"/>
      <c r="BF1" s="2742"/>
      <c r="BG1" s="2083"/>
      <c r="BI1" s="1895" t="s">
        <v>1</v>
      </c>
      <c r="BJ1" s="1895" t="s">
        <v>2</v>
      </c>
    </row>
    <row r="2" spans="1:63" s="4" customFormat="1" ht="15" x14ac:dyDescent="0.25">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742"/>
      <c r="AQ2" s="2742"/>
      <c r="AR2" s="2742"/>
      <c r="AS2" s="2742"/>
      <c r="AT2" s="2742"/>
      <c r="AU2" s="2742"/>
      <c r="AV2" s="2742"/>
      <c r="AW2" s="2742"/>
      <c r="AX2" s="2742"/>
      <c r="AY2" s="2742"/>
      <c r="AZ2" s="2742"/>
      <c r="BA2" s="2742"/>
      <c r="BB2" s="2742"/>
      <c r="BC2" s="2742"/>
      <c r="BD2" s="2742"/>
      <c r="BE2" s="2742"/>
      <c r="BF2" s="2742"/>
      <c r="BG2" s="2083"/>
      <c r="BI2" s="1896" t="s">
        <v>3</v>
      </c>
      <c r="BJ2" s="1897">
        <v>5</v>
      </c>
    </row>
    <row r="3" spans="1:63" s="4" customFormat="1" ht="15" x14ac:dyDescent="0.25">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742"/>
      <c r="AQ3" s="2742"/>
      <c r="AR3" s="2742"/>
      <c r="AS3" s="2742"/>
      <c r="AT3" s="2742"/>
      <c r="AU3" s="2742"/>
      <c r="AV3" s="2742"/>
      <c r="AW3" s="2742"/>
      <c r="AX3" s="2742"/>
      <c r="AY3" s="2742"/>
      <c r="AZ3" s="2742"/>
      <c r="BA3" s="2742"/>
      <c r="BB3" s="2742"/>
      <c r="BC3" s="2742"/>
      <c r="BD3" s="2742"/>
      <c r="BE3" s="2742"/>
      <c r="BF3" s="2742"/>
      <c r="BG3" s="2083"/>
      <c r="BI3" s="1895" t="s">
        <v>4</v>
      </c>
      <c r="BJ3" s="1898" t="s">
        <v>5</v>
      </c>
    </row>
    <row r="4" spans="1:63" s="24" customFormat="1" ht="21"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743"/>
      <c r="AQ4" s="2743"/>
      <c r="AR4" s="2743"/>
      <c r="AS4" s="2743"/>
      <c r="AT4" s="2743"/>
      <c r="AU4" s="2743"/>
      <c r="AV4" s="2743"/>
      <c r="AW4" s="2743"/>
      <c r="AX4" s="2743"/>
      <c r="AY4" s="2743"/>
      <c r="AZ4" s="2743"/>
      <c r="BA4" s="2743"/>
      <c r="BB4" s="2743"/>
      <c r="BC4" s="2743"/>
      <c r="BD4" s="2743"/>
      <c r="BE4" s="2743"/>
      <c r="BF4" s="2743"/>
      <c r="BG4" s="2084"/>
      <c r="BI4" s="679" t="s">
        <v>6</v>
      </c>
      <c r="BJ4" s="1899" t="s">
        <v>7</v>
      </c>
    </row>
    <row r="5" spans="1:63"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3" s="4" customFormat="1"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3" s="1080" customFormat="1" ht="37.5" customHeight="1" x14ac:dyDescent="0.25">
      <c r="A7" s="3535" t="s">
        <v>11</v>
      </c>
      <c r="B7" s="3538" t="s">
        <v>12</v>
      </c>
      <c r="C7" s="3539"/>
      <c r="D7" s="3544" t="s">
        <v>11</v>
      </c>
      <c r="E7" s="3538" t="s">
        <v>13</v>
      </c>
      <c r="F7" s="3539"/>
      <c r="G7" s="3544" t="s">
        <v>11</v>
      </c>
      <c r="H7" s="3538" t="s">
        <v>14</v>
      </c>
      <c r="I7" s="3539"/>
      <c r="J7" s="3544" t="s">
        <v>11</v>
      </c>
      <c r="K7" s="4893" t="s">
        <v>15</v>
      </c>
      <c r="L7" s="3544" t="s">
        <v>16</v>
      </c>
      <c r="M7" s="3538" t="s">
        <v>17</v>
      </c>
      <c r="N7" s="3539"/>
      <c r="O7" s="3544" t="s">
        <v>18</v>
      </c>
      <c r="P7" s="3570" t="s">
        <v>11</v>
      </c>
      <c r="Q7" s="3544" t="s">
        <v>9</v>
      </c>
      <c r="R7" s="3544" t="s">
        <v>20</v>
      </c>
      <c r="S7" s="3573" t="s">
        <v>21</v>
      </c>
      <c r="T7" s="3544" t="s">
        <v>22</v>
      </c>
      <c r="U7" s="3544" t="s">
        <v>23</v>
      </c>
      <c r="V7" s="3544" t="s">
        <v>800</v>
      </c>
      <c r="W7" s="3576" t="s">
        <v>21</v>
      </c>
      <c r="X7" s="3577"/>
      <c r="Y7" s="3578"/>
      <c r="Z7" s="3570" t="s">
        <v>11</v>
      </c>
      <c r="AA7" s="3544" t="s">
        <v>25</v>
      </c>
      <c r="AB7" s="3522" t="s">
        <v>26</v>
      </c>
      <c r="AC7" s="3523"/>
      <c r="AD7" s="3523"/>
      <c r="AE7" s="3523"/>
      <c r="AF7" s="3523"/>
      <c r="AG7" s="3523"/>
      <c r="AH7" s="3523"/>
      <c r="AI7" s="3523"/>
      <c r="AJ7" s="3523"/>
      <c r="AK7" s="3523"/>
      <c r="AL7" s="3523"/>
      <c r="AM7" s="3524"/>
      <c r="AN7" s="3525" t="s">
        <v>27</v>
      </c>
      <c r="AO7" s="3526"/>
      <c r="AP7" s="3526"/>
      <c r="AQ7" s="3526"/>
      <c r="AR7" s="3526"/>
      <c r="AS7" s="3526"/>
      <c r="AT7" s="3526"/>
      <c r="AU7" s="3526"/>
      <c r="AV7" s="3526"/>
      <c r="AW7" s="3526"/>
      <c r="AX7" s="3526"/>
      <c r="AY7" s="3527"/>
      <c r="AZ7" s="3522" t="s">
        <v>28</v>
      </c>
      <c r="BA7" s="3523"/>
      <c r="BB7" s="3523"/>
      <c r="BC7" s="3523"/>
      <c r="BD7" s="3523"/>
      <c r="BE7" s="3524"/>
      <c r="BF7" s="3510" t="s">
        <v>29</v>
      </c>
      <c r="BG7" s="3510"/>
      <c r="BH7" s="3510" t="s">
        <v>30</v>
      </c>
      <c r="BI7" s="3510"/>
      <c r="BJ7" s="3512" t="s">
        <v>31</v>
      </c>
      <c r="BK7" s="1079"/>
    </row>
    <row r="8" spans="1:63" s="1080" customFormat="1" ht="54.75" customHeight="1" x14ac:dyDescent="0.25">
      <c r="A8" s="3536"/>
      <c r="B8" s="3540"/>
      <c r="C8" s="3541"/>
      <c r="D8" s="3545"/>
      <c r="E8" s="3540"/>
      <c r="F8" s="3541"/>
      <c r="G8" s="3545"/>
      <c r="H8" s="3540"/>
      <c r="I8" s="3541"/>
      <c r="J8" s="3545"/>
      <c r="K8" s="4894"/>
      <c r="L8" s="3545"/>
      <c r="M8" s="3540"/>
      <c r="N8" s="3541"/>
      <c r="O8" s="3545"/>
      <c r="P8" s="3571"/>
      <c r="Q8" s="3545"/>
      <c r="R8" s="3545"/>
      <c r="S8" s="3574"/>
      <c r="T8" s="3545"/>
      <c r="U8" s="3545"/>
      <c r="V8" s="3545"/>
      <c r="W8" s="3579"/>
      <c r="X8" s="3580"/>
      <c r="Y8" s="3581"/>
      <c r="Z8" s="3571"/>
      <c r="AA8" s="3545"/>
      <c r="AB8" s="3515" t="s">
        <v>32</v>
      </c>
      <c r="AC8" s="3515"/>
      <c r="AD8" s="3516" t="s">
        <v>33</v>
      </c>
      <c r="AE8" s="3517"/>
      <c r="AF8" s="3518" t="s">
        <v>34</v>
      </c>
      <c r="AG8" s="3519"/>
      <c r="AH8" s="3518" t="s">
        <v>35</v>
      </c>
      <c r="AI8" s="3519"/>
      <c r="AJ8" s="3518" t="s">
        <v>36</v>
      </c>
      <c r="AK8" s="3519"/>
      <c r="AL8" s="3520" t="s">
        <v>37</v>
      </c>
      <c r="AM8" s="3521"/>
      <c r="AN8" s="3520" t="s">
        <v>38</v>
      </c>
      <c r="AO8" s="3521"/>
      <c r="AP8" s="3520" t="s">
        <v>39</v>
      </c>
      <c r="AQ8" s="3521"/>
      <c r="AR8" s="3520" t="s">
        <v>40</v>
      </c>
      <c r="AS8" s="3521"/>
      <c r="AT8" s="3520" t="s">
        <v>41</v>
      </c>
      <c r="AU8" s="3521"/>
      <c r="AV8" s="3520" t="s">
        <v>42</v>
      </c>
      <c r="AW8" s="3521"/>
      <c r="AX8" s="3515" t="s">
        <v>43</v>
      </c>
      <c r="AY8" s="3515"/>
      <c r="AZ8" s="3528" t="s">
        <v>44</v>
      </c>
      <c r="BA8" s="3547" t="s">
        <v>45</v>
      </c>
      <c r="BB8" s="3528" t="s">
        <v>46</v>
      </c>
      <c r="BC8" s="3529" t="s">
        <v>47</v>
      </c>
      <c r="BD8" s="3528" t="s">
        <v>48</v>
      </c>
      <c r="BE8" s="3531" t="s">
        <v>49</v>
      </c>
      <c r="BF8" s="3511"/>
      <c r="BG8" s="3511"/>
      <c r="BH8" s="3511"/>
      <c r="BI8" s="3511"/>
      <c r="BJ8" s="3513"/>
      <c r="BK8" s="1079"/>
    </row>
    <row r="9" spans="1:63" s="1080" customFormat="1" ht="30" customHeight="1" x14ac:dyDescent="0.25">
      <c r="A9" s="3537"/>
      <c r="B9" s="3542"/>
      <c r="C9" s="3543"/>
      <c r="D9" s="3546"/>
      <c r="E9" s="3542"/>
      <c r="F9" s="3543"/>
      <c r="G9" s="3546"/>
      <c r="H9" s="3542"/>
      <c r="I9" s="3543"/>
      <c r="J9" s="3546"/>
      <c r="K9" s="4895"/>
      <c r="L9" s="3546"/>
      <c r="M9" s="2369" t="s">
        <v>50</v>
      </c>
      <c r="N9" s="1081" t="s">
        <v>51</v>
      </c>
      <c r="O9" s="3546"/>
      <c r="P9" s="3572"/>
      <c r="Q9" s="3546"/>
      <c r="R9" s="3546"/>
      <c r="S9" s="3575"/>
      <c r="T9" s="3546"/>
      <c r="U9" s="3546"/>
      <c r="V9" s="3546"/>
      <c r="W9" s="2369" t="s">
        <v>52</v>
      </c>
      <c r="X9" s="1081" t="s">
        <v>53</v>
      </c>
      <c r="Y9" s="1081" t="s">
        <v>54</v>
      </c>
      <c r="Z9" s="3572"/>
      <c r="AA9" s="3546"/>
      <c r="AB9" s="2369" t="s">
        <v>50</v>
      </c>
      <c r="AC9" s="1081" t="s">
        <v>51</v>
      </c>
      <c r="AD9" s="2369" t="s">
        <v>50</v>
      </c>
      <c r="AE9" s="1081" t="s">
        <v>51</v>
      </c>
      <c r="AF9" s="2369" t="s">
        <v>50</v>
      </c>
      <c r="AG9" s="1081" t="s">
        <v>51</v>
      </c>
      <c r="AH9" s="2369" t="s">
        <v>50</v>
      </c>
      <c r="AI9" s="1081" t="s">
        <v>51</v>
      </c>
      <c r="AJ9" s="2369" t="s">
        <v>50</v>
      </c>
      <c r="AK9" s="1081" t="s">
        <v>51</v>
      </c>
      <c r="AL9" s="2369" t="s">
        <v>50</v>
      </c>
      <c r="AM9" s="1081" t="s">
        <v>51</v>
      </c>
      <c r="AN9" s="2369" t="s">
        <v>50</v>
      </c>
      <c r="AO9" s="1081" t="s">
        <v>51</v>
      </c>
      <c r="AP9" s="2369" t="s">
        <v>50</v>
      </c>
      <c r="AQ9" s="1081" t="s">
        <v>51</v>
      </c>
      <c r="AR9" s="2369" t="s">
        <v>50</v>
      </c>
      <c r="AS9" s="1081" t="s">
        <v>51</v>
      </c>
      <c r="AT9" s="2369" t="s">
        <v>50</v>
      </c>
      <c r="AU9" s="1081" t="s">
        <v>51</v>
      </c>
      <c r="AV9" s="2369" t="s">
        <v>50</v>
      </c>
      <c r="AW9" s="1081" t="s">
        <v>51</v>
      </c>
      <c r="AX9" s="2369" t="s">
        <v>50</v>
      </c>
      <c r="AY9" s="1081" t="s">
        <v>51</v>
      </c>
      <c r="AZ9" s="3528"/>
      <c r="BA9" s="3547"/>
      <c r="BB9" s="3528"/>
      <c r="BC9" s="3530"/>
      <c r="BD9" s="3528"/>
      <c r="BE9" s="3532"/>
      <c r="BF9" s="2368" t="s">
        <v>50</v>
      </c>
      <c r="BG9" s="1082" t="s">
        <v>51</v>
      </c>
      <c r="BH9" s="2368" t="s">
        <v>50</v>
      </c>
      <c r="BI9" s="1082" t="s">
        <v>51</v>
      </c>
      <c r="BJ9" s="3514"/>
      <c r="BK9" s="1079"/>
    </row>
    <row r="10" spans="1:63" s="1078" customFormat="1" ht="15" x14ac:dyDescent="0.2">
      <c r="A10" s="3533">
        <v>2</v>
      </c>
      <c r="B10" s="1083" t="s">
        <v>801</v>
      </c>
      <c r="C10" s="1084"/>
      <c r="D10" s="1085"/>
      <c r="E10" s="1085"/>
      <c r="F10" s="1085"/>
      <c r="G10" s="1085"/>
      <c r="H10" s="1085"/>
      <c r="I10" s="1085"/>
      <c r="J10" s="1085"/>
      <c r="K10" s="4896"/>
      <c r="L10" s="1085"/>
      <c r="M10" s="1085"/>
      <c r="N10" s="1086"/>
      <c r="O10" s="1085"/>
      <c r="P10" s="1085"/>
      <c r="Q10" s="1085"/>
      <c r="R10" s="1085"/>
      <c r="S10" s="1085"/>
      <c r="T10" s="1085"/>
      <c r="U10" s="1085"/>
      <c r="V10" s="1085"/>
      <c r="W10" s="1085"/>
      <c r="X10" s="1086"/>
      <c r="Y10" s="1086"/>
      <c r="Z10" s="1085"/>
      <c r="AA10" s="1085"/>
      <c r="AB10" s="1085"/>
      <c r="AC10" s="1086"/>
      <c r="AD10" s="1085"/>
      <c r="AE10" s="1086"/>
      <c r="AF10" s="1085"/>
      <c r="AG10" s="1086"/>
      <c r="AH10" s="1085"/>
      <c r="AI10" s="1086"/>
      <c r="AJ10" s="1085"/>
      <c r="AK10" s="1086"/>
      <c r="AL10" s="1085"/>
      <c r="AM10" s="1086"/>
      <c r="AN10" s="1085"/>
      <c r="AO10" s="1086"/>
      <c r="AP10" s="1085"/>
      <c r="AQ10" s="1086"/>
      <c r="AR10" s="1085"/>
      <c r="AS10" s="1086"/>
      <c r="AT10" s="1085"/>
      <c r="AU10" s="1086"/>
      <c r="AV10" s="1085"/>
      <c r="AW10" s="1086"/>
      <c r="AX10" s="1085"/>
      <c r="AY10" s="1086"/>
      <c r="AZ10" s="1085"/>
      <c r="BA10" s="1087"/>
      <c r="BB10" s="1085"/>
      <c r="BC10" s="1085"/>
      <c r="BD10" s="1088"/>
      <c r="BE10" s="1088"/>
      <c r="BF10" s="1088"/>
      <c r="BG10" s="1086"/>
      <c r="BH10" s="1085"/>
      <c r="BI10" s="1086"/>
      <c r="BJ10" s="1089"/>
      <c r="BK10" s="1077"/>
    </row>
    <row r="11" spans="1:63" s="1097" customFormat="1" ht="15" x14ac:dyDescent="0.2">
      <c r="A11" s="3534"/>
      <c r="B11" s="1090"/>
      <c r="C11" s="1091"/>
      <c r="D11" s="1092"/>
      <c r="E11" s="1092"/>
      <c r="F11" s="1092"/>
      <c r="G11" s="1092"/>
      <c r="H11" s="1092"/>
      <c r="I11" s="1092"/>
      <c r="J11" s="1092"/>
      <c r="K11" s="4897"/>
      <c r="L11" s="1092"/>
      <c r="M11" s="1092"/>
      <c r="N11" s="1093"/>
      <c r="O11" s="1092"/>
      <c r="P11" s="1092"/>
      <c r="Q11" s="1092"/>
      <c r="R11" s="1092"/>
      <c r="S11" s="1092"/>
      <c r="T11" s="1092"/>
      <c r="U11" s="1092"/>
      <c r="V11" s="1092"/>
      <c r="W11" s="1092"/>
      <c r="X11" s="1093"/>
      <c r="Y11" s="1093"/>
      <c r="Z11" s="1092"/>
      <c r="AA11" s="1092"/>
      <c r="AB11" s="1092"/>
      <c r="AC11" s="1093"/>
      <c r="AD11" s="1092"/>
      <c r="AE11" s="1093"/>
      <c r="AF11" s="1092"/>
      <c r="AG11" s="1093"/>
      <c r="AH11" s="1092"/>
      <c r="AI11" s="1093"/>
      <c r="AJ11" s="1092"/>
      <c r="AK11" s="1093"/>
      <c r="AL11" s="1092"/>
      <c r="AM11" s="1093"/>
      <c r="AN11" s="1092"/>
      <c r="AO11" s="1093"/>
      <c r="AP11" s="1092"/>
      <c r="AQ11" s="1093"/>
      <c r="AR11" s="1092"/>
      <c r="AS11" s="1093"/>
      <c r="AT11" s="1092"/>
      <c r="AU11" s="1093"/>
      <c r="AV11" s="1092"/>
      <c r="AW11" s="1093"/>
      <c r="AX11" s="1092"/>
      <c r="AY11" s="1093"/>
      <c r="AZ11" s="1092"/>
      <c r="BA11" s="1094"/>
      <c r="BB11" s="1092"/>
      <c r="BC11" s="1092"/>
      <c r="BD11" s="1095"/>
      <c r="BE11" s="1095"/>
      <c r="BF11" s="1095"/>
      <c r="BG11" s="1093"/>
      <c r="BH11" s="1092"/>
      <c r="BI11" s="1093"/>
      <c r="BJ11" s="1096"/>
    </row>
    <row r="12" spans="1:63" s="1097" customFormat="1" ht="15" x14ac:dyDescent="0.2">
      <c r="A12" s="3548" t="s">
        <v>802</v>
      </c>
      <c r="B12" s="3549"/>
      <c r="C12" s="3550"/>
      <c r="D12" s="2352">
        <v>2</v>
      </c>
      <c r="E12" s="1098" t="s">
        <v>803</v>
      </c>
      <c r="F12" s="1099"/>
      <c r="G12" s="1099"/>
      <c r="H12" s="1099"/>
      <c r="I12" s="1099"/>
      <c r="J12" s="1099"/>
      <c r="K12" s="4898"/>
      <c r="L12" s="1099"/>
      <c r="M12" s="1099"/>
      <c r="N12" s="1100"/>
      <c r="O12" s="1099"/>
      <c r="P12" s="1099"/>
      <c r="Q12" s="1099"/>
      <c r="R12" s="1099"/>
      <c r="S12" s="1099"/>
      <c r="T12" s="1099"/>
      <c r="U12" s="1099"/>
      <c r="V12" s="1099"/>
      <c r="W12" s="1099"/>
      <c r="X12" s="1100"/>
      <c r="Y12" s="1100"/>
      <c r="Z12" s="1099"/>
      <c r="AA12" s="1099"/>
      <c r="AB12" s="1099"/>
      <c r="AC12" s="1100"/>
      <c r="AD12" s="1099"/>
      <c r="AE12" s="1100"/>
      <c r="AF12" s="1099"/>
      <c r="AG12" s="1100"/>
      <c r="AH12" s="1099"/>
      <c r="AI12" s="1100"/>
      <c r="AJ12" s="1099"/>
      <c r="AK12" s="1100"/>
      <c r="AL12" s="1099"/>
      <c r="AM12" s="1100"/>
      <c r="AN12" s="1099"/>
      <c r="AO12" s="1100"/>
      <c r="AP12" s="1099"/>
      <c r="AQ12" s="1100"/>
      <c r="AR12" s="1099"/>
      <c r="AS12" s="1100"/>
      <c r="AT12" s="1099"/>
      <c r="AU12" s="1100"/>
      <c r="AV12" s="1099"/>
      <c r="AW12" s="1100"/>
      <c r="AX12" s="1099"/>
      <c r="AY12" s="1100"/>
      <c r="AZ12" s="1099"/>
      <c r="BA12" s="1101"/>
      <c r="BB12" s="1099"/>
      <c r="BC12" s="1099"/>
      <c r="BD12" s="1102"/>
      <c r="BE12" s="1102"/>
      <c r="BF12" s="1102"/>
      <c r="BG12" s="1100"/>
      <c r="BH12" s="1099"/>
      <c r="BI12" s="1100"/>
      <c r="BJ12" s="1103"/>
    </row>
    <row r="13" spans="1:63" s="1097" customFormat="1" ht="16.5" customHeight="1" x14ac:dyDescent="0.2">
      <c r="A13" s="3551"/>
      <c r="B13" s="3552"/>
      <c r="C13" s="3553"/>
      <c r="D13" s="3557"/>
      <c r="E13" s="3558"/>
      <c r="F13" s="3558"/>
      <c r="G13" s="2361">
        <v>8</v>
      </c>
      <c r="H13" s="1104" t="s">
        <v>804</v>
      </c>
      <c r="I13" s="1105"/>
      <c r="J13" s="1105"/>
      <c r="K13" s="4899"/>
      <c r="L13" s="1105"/>
      <c r="M13" s="1105"/>
      <c r="N13" s="1106"/>
      <c r="O13" s="1105"/>
      <c r="P13" s="1105"/>
      <c r="Q13" s="1105"/>
      <c r="R13" s="1105"/>
      <c r="S13" s="1105"/>
      <c r="T13" s="1105"/>
      <c r="U13" s="1105"/>
      <c r="V13" s="1105"/>
      <c r="W13" s="1105"/>
      <c r="X13" s="1106"/>
      <c r="Y13" s="1106"/>
      <c r="Z13" s="1105"/>
      <c r="AA13" s="1105"/>
      <c r="AB13" s="1105"/>
      <c r="AC13" s="1106"/>
      <c r="AD13" s="1105"/>
      <c r="AE13" s="1106"/>
      <c r="AF13" s="1105"/>
      <c r="AG13" s="1106"/>
      <c r="AH13" s="1105"/>
      <c r="AI13" s="1106"/>
      <c r="AJ13" s="1105"/>
      <c r="AK13" s="1106"/>
      <c r="AL13" s="1105"/>
      <c r="AM13" s="1106"/>
      <c r="AN13" s="1105"/>
      <c r="AO13" s="1106"/>
      <c r="AP13" s="1105"/>
      <c r="AQ13" s="1106"/>
      <c r="AR13" s="1105"/>
      <c r="AS13" s="1106"/>
      <c r="AT13" s="1105"/>
      <c r="AU13" s="1106"/>
      <c r="AV13" s="1105"/>
      <c r="AW13" s="1106"/>
      <c r="AX13" s="1105"/>
      <c r="AY13" s="1106"/>
      <c r="AZ13" s="1105"/>
      <c r="BA13" s="1107"/>
      <c r="BB13" s="1105"/>
      <c r="BC13" s="1105"/>
      <c r="BD13" s="1108"/>
      <c r="BE13" s="1108"/>
      <c r="BF13" s="1108"/>
      <c r="BG13" s="1106"/>
      <c r="BH13" s="1105"/>
      <c r="BI13" s="1106"/>
      <c r="BJ13" s="1109"/>
    </row>
    <row r="14" spans="1:63" s="1097" customFormat="1" ht="16.5" customHeight="1" x14ac:dyDescent="0.2">
      <c r="A14" s="3551"/>
      <c r="B14" s="3552"/>
      <c r="C14" s="3553"/>
      <c r="D14" s="3557"/>
      <c r="E14" s="3558"/>
      <c r="F14" s="3558"/>
      <c r="G14" s="3552"/>
      <c r="H14" s="3552"/>
      <c r="I14" s="3552"/>
      <c r="J14" s="3562">
        <v>38</v>
      </c>
      <c r="K14" s="3563" t="s">
        <v>805</v>
      </c>
      <c r="L14" s="3558" t="s">
        <v>19</v>
      </c>
      <c r="M14" s="3562">
        <v>4</v>
      </c>
      <c r="N14" s="3591">
        <v>3</v>
      </c>
      <c r="O14" s="3558" t="s">
        <v>806</v>
      </c>
      <c r="P14" s="3594">
        <v>51</v>
      </c>
      <c r="Q14" s="3563" t="s">
        <v>807</v>
      </c>
      <c r="R14" s="3584">
        <v>0.5</v>
      </c>
      <c r="S14" s="3587">
        <v>15000000</v>
      </c>
      <c r="T14" s="3563" t="s">
        <v>808</v>
      </c>
      <c r="U14" s="3563" t="s">
        <v>809</v>
      </c>
      <c r="V14" s="3563" t="s">
        <v>810</v>
      </c>
      <c r="W14" s="3588">
        <v>7500000</v>
      </c>
      <c r="X14" s="3596">
        <v>7500000</v>
      </c>
      <c r="Y14" s="3596">
        <v>7500000</v>
      </c>
      <c r="Z14" s="3599">
        <v>20</v>
      </c>
      <c r="AA14" s="3600" t="s">
        <v>130</v>
      </c>
      <c r="AB14" s="3494">
        <v>64149</v>
      </c>
      <c r="AC14" s="3497">
        <f>+AB14/($W$14+$W$19+$W$24+$W$32+$W$40)*($Y$14+$Y$19+$Y$24+$Y$32+$Y$40)</f>
        <v>25980.345000000001</v>
      </c>
      <c r="AD14" s="3494" t="s">
        <v>811</v>
      </c>
      <c r="AE14" s="3497">
        <f>+AD14/($W$14+$W$19+$W$24+$W$32+$W$40)*($Y$14+$Y$19+$Y$24+$Y$32+$Y$40)</f>
        <v>29250.719999999998</v>
      </c>
      <c r="AF14" s="3494" t="s">
        <v>812</v>
      </c>
      <c r="AG14" s="3497">
        <f>+AF14/($W$14+$W$19+$W$24+$W$32+$W$40)*($Y$14+$Y$19+$Y$24+$Y$32+$Y$40)</f>
        <v>11128.184999999999</v>
      </c>
      <c r="AH14" s="3494" t="s">
        <v>813</v>
      </c>
      <c r="AI14" s="3497">
        <f>+AH14/($W$14+$W$19+$W$24+$W$32+$W$40)*($Y$14+$Y$19+$Y$24+$Y$32+$Y$40)</f>
        <v>35171.415000000001</v>
      </c>
      <c r="AJ14" s="3494" t="s">
        <v>814</v>
      </c>
      <c r="AK14" s="3497">
        <f>+AJ14/($W$14+$W$19+$W$24+$W$32+$W$40)*($Y$14+$Y$19+$Y$24+$Y$32+$Y$40)</f>
        <v>95753.744999999995</v>
      </c>
      <c r="AL14" s="3494" t="s">
        <v>815</v>
      </c>
      <c r="AM14" s="3497">
        <f>+AL14/($W$14+$W$19+$W$24+$W$32+$W$40)*($Y$14+$Y$19+$Y$24+$Y$32+$Y$40)</f>
        <v>32960.520000000004</v>
      </c>
      <c r="AN14" s="3494">
        <v>13208</v>
      </c>
      <c r="AO14" s="3497">
        <f>+AN14/($W$14+$W$19+$W$24+$W$32+$W$40)*($Y$14+$Y$19+$Y$24+$Y$32+$Y$40)</f>
        <v>5349.24</v>
      </c>
      <c r="AP14" s="3494">
        <v>1827</v>
      </c>
      <c r="AQ14" s="3497">
        <f>+AP14/($W$14+$W$19+$W$24+$W$32+$W$40)*($Y$14+$Y$19+$Y$24+$Y$32+$Y$40)</f>
        <v>739.93499999999995</v>
      </c>
      <c r="AR14" s="3494"/>
      <c r="AS14" s="3497"/>
      <c r="AT14" s="3494"/>
      <c r="AU14" s="3497"/>
      <c r="AV14" s="3494">
        <v>16897</v>
      </c>
      <c r="AW14" s="3497">
        <f>+AV14/($W$14+$W$19+$W$24+$W$32+$W$40)*($Y$14+$Y$19+$Y$24+$Y$32+$Y$40)</f>
        <v>6843.2849999999999</v>
      </c>
      <c r="AX14" s="3494">
        <v>81384</v>
      </c>
      <c r="AY14" s="3497">
        <f>+AX14/($W$14+$W$19+$W$24+$W$32+$W$40)*($Y$14+$Y$19+$Y$24+$Y$32+$Y$40)</f>
        <v>32960.520000000004</v>
      </c>
      <c r="AZ14" s="3621" t="s">
        <v>816</v>
      </c>
      <c r="BA14" s="3595">
        <v>7500000</v>
      </c>
      <c r="BB14" s="3617">
        <v>7500000</v>
      </c>
      <c r="BC14" s="3617">
        <v>100</v>
      </c>
      <c r="BD14" s="3617" t="s">
        <v>165</v>
      </c>
      <c r="BE14" s="3617" t="s">
        <v>817</v>
      </c>
      <c r="BF14" s="3618" t="s">
        <v>818</v>
      </c>
      <c r="BG14" s="3613" t="s">
        <v>819</v>
      </c>
      <c r="BH14" s="3610">
        <v>42735</v>
      </c>
      <c r="BI14" s="3613" t="s">
        <v>820</v>
      </c>
      <c r="BJ14" s="3614" t="s">
        <v>821</v>
      </c>
    </row>
    <row r="15" spans="1:63" s="1097" customFormat="1" ht="16.5" customHeight="1" x14ac:dyDescent="0.2">
      <c r="A15" s="3551"/>
      <c r="B15" s="3552"/>
      <c r="C15" s="3553"/>
      <c r="D15" s="3557"/>
      <c r="E15" s="3558"/>
      <c r="F15" s="3558"/>
      <c r="G15" s="3552"/>
      <c r="H15" s="3552"/>
      <c r="I15" s="3552"/>
      <c r="J15" s="3562"/>
      <c r="K15" s="3563"/>
      <c r="L15" s="3558"/>
      <c r="M15" s="3562"/>
      <c r="N15" s="3592"/>
      <c r="O15" s="3558"/>
      <c r="P15" s="3594"/>
      <c r="Q15" s="3563"/>
      <c r="R15" s="3585"/>
      <c r="S15" s="3587"/>
      <c r="T15" s="3563"/>
      <c r="U15" s="3563"/>
      <c r="V15" s="3563"/>
      <c r="W15" s="3589"/>
      <c r="X15" s="3597"/>
      <c r="Y15" s="3597"/>
      <c r="Z15" s="3599"/>
      <c r="AA15" s="3600"/>
      <c r="AB15" s="3495"/>
      <c r="AC15" s="3498"/>
      <c r="AD15" s="3495"/>
      <c r="AE15" s="3498"/>
      <c r="AF15" s="3495"/>
      <c r="AG15" s="3498"/>
      <c r="AH15" s="3495"/>
      <c r="AI15" s="3498"/>
      <c r="AJ15" s="3495"/>
      <c r="AK15" s="3498"/>
      <c r="AL15" s="3495"/>
      <c r="AM15" s="3498"/>
      <c r="AN15" s="3495"/>
      <c r="AO15" s="3498"/>
      <c r="AP15" s="3495"/>
      <c r="AQ15" s="3498"/>
      <c r="AR15" s="3495"/>
      <c r="AS15" s="3498"/>
      <c r="AT15" s="3495"/>
      <c r="AU15" s="3498"/>
      <c r="AV15" s="3495"/>
      <c r="AW15" s="3498"/>
      <c r="AX15" s="3495"/>
      <c r="AY15" s="3498"/>
      <c r="AZ15" s="3622"/>
      <c r="BA15" s="3595"/>
      <c r="BB15" s="3617"/>
      <c r="BC15" s="3617"/>
      <c r="BD15" s="3617"/>
      <c r="BE15" s="3617"/>
      <c r="BF15" s="3619"/>
      <c r="BG15" s="3613"/>
      <c r="BH15" s="3611"/>
      <c r="BI15" s="3613"/>
      <c r="BJ15" s="3614"/>
    </row>
    <row r="16" spans="1:63" s="1097" customFormat="1" ht="16.5" customHeight="1" x14ac:dyDescent="0.2">
      <c r="A16" s="3551"/>
      <c r="B16" s="3552"/>
      <c r="C16" s="3553"/>
      <c r="D16" s="3557"/>
      <c r="E16" s="3558"/>
      <c r="F16" s="3558"/>
      <c r="G16" s="3552"/>
      <c r="H16" s="3552"/>
      <c r="I16" s="3552"/>
      <c r="J16" s="3562"/>
      <c r="K16" s="3563"/>
      <c r="L16" s="3558"/>
      <c r="M16" s="3562"/>
      <c r="N16" s="3592"/>
      <c r="O16" s="3558"/>
      <c r="P16" s="3594"/>
      <c r="Q16" s="3563"/>
      <c r="R16" s="3585"/>
      <c r="S16" s="3587"/>
      <c r="T16" s="3563"/>
      <c r="U16" s="3563"/>
      <c r="V16" s="3563"/>
      <c r="W16" s="3589"/>
      <c r="X16" s="3597"/>
      <c r="Y16" s="3597"/>
      <c r="Z16" s="3599"/>
      <c r="AA16" s="3600"/>
      <c r="AB16" s="3495"/>
      <c r="AC16" s="3498"/>
      <c r="AD16" s="3495"/>
      <c r="AE16" s="3498"/>
      <c r="AF16" s="3495"/>
      <c r="AG16" s="3498"/>
      <c r="AH16" s="3495"/>
      <c r="AI16" s="3498"/>
      <c r="AJ16" s="3495"/>
      <c r="AK16" s="3498"/>
      <c r="AL16" s="3495"/>
      <c r="AM16" s="3498"/>
      <c r="AN16" s="3495"/>
      <c r="AO16" s="3498"/>
      <c r="AP16" s="3495"/>
      <c r="AQ16" s="3498"/>
      <c r="AR16" s="3495"/>
      <c r="AS16" s="3498"/>
      <c r="AT16" s="3495"/>
      <c r="AU16" s="3498"/>
      <c r="AV16" s="3495"/>
      <c r="AW16" s="3498"/>
      <c r="AX16" s="3495"/>
      <c r="AY16" s="3498"/>
      <c r="AZ16" s="3622"/>
      <c r="BA16" s="3595"/>
      <c r="BB16" s="3617"/>
      <c r="BC16" s="3617"/>
      <c r="BD16" s="3617"/>
      <c r="BE16" s="3617"/>
      <c r="BF16" s="3619"/>
      <c r="BG16" s="3613"/>
      <c r="BH16" s="3611"/>
      <c r="BI16" s="3613"/>
      <c r="BJ16" s="3614"/>
    </row>
    <row r="17" spans="1:63" s="1078" customFormat="1" ht="13.5" customHeight="1" x14ac:dyDescent="0.2">
      <c r="A17" s="3551"/>
      <c r="B17" s="3552"/>
      <c r="C17" s="3553"/>
      <c r="D17" s="3557"/>
      <c r="E17" s="3558"/>
      <c r="F17" s="3558"/>
      <c r="G17" s="3552"/>
      <c r="H17" s="3552"/>
      <c r="I17" s="3552"/>
      <c r="J17" s="3562"/>
      <c r="K17" s="3563"/>
      <c r="L17" s="3558"/>
      <c r="M17" s="3562"/>
      <c r="N17" s="3592"/>
      <c r="O17" s="3558"/>
      <c r="P17" s="3594"/>
      <c r="Q17" s="3563"/>
      <c r="R17" s="3585"/>
      <c r="S17" s="3587"/>
      <c r="T17" s="3563"/>
      <c r="U17" s="3563"/>
      <c r="V17" s="3563"/>
      <c r="W17" s="3589"/>
      <c r="X17" s="3597"/>
      <c r="Y17" s="3597"/>
      <c r="Z17" s="3599"/>
      <c r="AA17" s="3600"/>
      <c r="AB17" s="3495"/>
      <c r="AC17" s="3498"/>
      <c r="AD17" s="3495"/>
      <c r="AE17" s="3498"/>
      <c r="AF17" s="3495"/>
      <c r="AG17" s="3498"/>
      <c r="AH17" s="3495"/>
      <c r="AI17" s="3498"/>
      <c r="AJ17" s="3495"/>
      <c r="AK17" s="3498"/>
      <c r="AL17" s="3495"/>
      <c r="AM17" s="3498"/>
      <c r="AN17" s="3495"/>
      <c r="AO17" s="3498"/>
      <c r="AP17" s="3495"/>
      <c r="AQ17" s="3498"/>
      <c r="AR17" s="3495"/>
      <c r="AS17" s="3498"/>
      <c r="AT17" s="3495"/>
      <c r="AU17" s="3498"/>
      <c r="AV17" s="3495"/>
      <c r="AW17" s="3498"/>
      <c r="AX17" s="3495"/>
      <c r="AY17" s="3498"/>
      <c r="AZ17" s="3622"/>
      <c r="BA17" s="3595"/>
      <c r="BB17" s="3617"/>
      <c r="BC17" s="3617"/>
      <c r="BD17" s="3617"/>
      <c r="BE17" s="3617"/>
      <c r="BF17" s="3619"/>
      <c r="BG17" s="3613"/>
      <c r="BH17" s="3611"/>
      <c r="BI17" s="3613"/>
      <c r="BJ17" s="3614"/>
    </row>
    <row r="18" spans="1:63" s="1078" customFormat="1" ht="13.5" customHeight="1" x14ac:dyDescent="0.2">
      <c r="A18" s="3551"/>
      <c r="B18" s="3552"/>
      <c r="C18" s="3553"/>
      <c r="D18" s="3557"/>
      <c r="E18" s="3558"/>
      <c r="F18" s="3558"/>
      <c r="G18" s="3552"/>
      <c r="H18" s="3552"/>
      <c r="I18" s="3552"/>
      <c r="J18" s="3562"/>
      <c r="K18" s="3563"/>
      <c r="L18" s="3558"/>
      <c r="M18" s="3562"/>
      <c r="N18" s="3593"/>
      <c r="O18" s="3558"/>
      <c r="P18" s="3594"/>
      <c r="Q18" s="3563"/>
      <c r="R18" s="3586"/>
      <c r="S18" s="3587"/>
      <c r="T18" s="3563"/>
      <c r="U18" s="3563"/>
      <c r="V18" s="3563"/>
      <c r="W18" s="3590"/>
      <c r="X18" s="3598"/>
      <c r="Y18" s="3598"/>
      <c r="Z18" s="3599"/>
      <c r="AA18" s="3600"/>
      <c r="AB18" s="3495"/>
      <c r="AC18" s="3498"/>
      <c r="AD18" s="3495"/>
      <c r="AE18" s="3498"/>
      <c r="AF18" s="3495"/>
      <c r="AG18" s="3498"/>
      <c r="AH18" s="3495"/>
      <c r="AI18" s="3498"/>
      <c r="AJ18" s="3495"/>
      <c r="AK18" s="3498"/>
      <c r="AL18" s="3495"/>
      <c r="AM18" s="3498"/>
      <c r="AN18" s="3495"/>
      <c r="AO18" s="3498"/>
      <c r="AP18" s="3495"/>
      <c r="AQ18" s="3498"/>
      <c r="AR18" s="3495"/>
      <c r="AS18" s="3498"/>
      <c r="AT18" s="3495"/>
      <c r="AU18" s="3498"/>
      <c r="AV18" s="3495"/>
      <c r="AW18" s="3498"/>
      <c r="AX18" s="3495"/>
      <c r="AY18" s="3498"/>
      <c r="AZ18" s="3623"/>
      <c r="BA18" s="3595"/>
      <c r="BB18" s="3617"/>
      <c r="BC18" s="3617"/>
      <c r="BD18" s="3617"/>
      <c r="BE18" s="3617"/>
      <c r="BF18" s="3620"/>
      <c r="BG18" s="3613"/>
      <c r="BH18" s="3612"/>
      <c r="BI18" s="3613"/>
      <c r="BJ18" s="3614"/>
    </row>
    <row r="19" spans="1:63" s="1078" customFormat="1" ht="15" customHeight="1" x14ac:dyDescent="0.2">
      <c r="A19" s="3551"/>
      <c r="B19" s="3552"/>
      <c r="C19" s="3553"/>
      <c r="D19" s="3557"/>
      <c r="E19" s="3558"/>
      <c r="F19" s="3558"/>
      <c r="G19" s="3552"/>
      <c r="H19" s="3552"/>
      <c r="I19" s="3552"/>
      <c r="J19" s="3562">
        <v>39</v>
      </c>
      <c r="K19" s="3563" t="s">
        <v>822</v>
      </c>
      <c r="L19" s="3558"/>
      <c r="M19" s="3562">
        <v>3</v>
      </c>
      <c r="N19" s="3591">
        <v>3</v>
      </c>
      <c r="O19" s="3558"/>
      <c r="P19" s="3594"/>
      <c r="Q19" s="3563"/>
      <c r="R19" s="3615">
        <v>0.5</v>
      </c>
      <c r="S19" s="3587"/>
      <c r="T19" s="3563"/>
      <c r="U19" s="3563" t="s">
        <v>823</v>
      </c>
      <c r="V19" s="3563" t="s">
        <v>824</v>
      </c>
      <c r="W19" s="3588">
        <v>7500000</v>
      </c>
      <c r="X19" s="3596">
        <v>7500000</v>
      </c>
      <c r="Y19" s="3596">
        <v>7500000</v>
      </c>
      <c r="Z19" s="3599"/>
      <c r="AA19" s="3600"/>
      <c r="AB19" s="3495"/>
      <c r="AC19" s="3498"/>
      <c r="AD19" s="3495"/>
      <c r="AE19" s="3498"/>
      <c r="AF19" s="3495"/>
      <c r="AG19" s="3498"/>
      <c r="AH19" s="3495"/>
      <c r="AI19" s="3498"/>
      <c r="AJ19" s="3495"/>
      <c r="AK19" s="3498"/>
      <c r="AL19" s="3495"/>
      <c r="AM19" s="3498"/>
      <c r="AN19" s="3495"/>
      <c r="AO19" s="3498"/>
      <c r="AP19" s="3495"/>
      <c r="AQ19" s="3498"/>
      <c r="AR19" s="3495"/>
      <c r="AS19" s="3498"/>
      <c r="AT19" s="3495"/>
      <c r="AU19" s="3498"/>
      <c r="AV19" s="3495"/>
      <c r="AW19" s="3498"/>
      <c r="AX19" s="3495"/>
      <c r="AY19" s="3498"/>
      <c r="AZ19" s="3621" t="s">
        <v>825</v>
      </c>
      <c r="BA19" s="3595">
        <v>7500000</v>
      </c>
      <c r="BB19" s="3617">
        <v>7500000</v>
      </c>
      <c r="BC19" s="3617">
        <v>100</v>
      </c>
      <c r="BD19" s="3617" t="s">
        <v>165</v>
      </c>
      <c r="BE19" s="3617" t="s">
        <v>817</v>
      </c>
      <c r="BF19" s="3618" t="s">
        <v>818</v>
      </c>
      <c r="BG19" s="3613" t="s">
        <v>826</v>
      </c>
      <c r="BH19" s="3610">
        <v>42735</v>
      </c>
      <c r="BI19" s="3613" t="s">
        <v>827</v>
      </c>
      <c r="BJ19" s="3614"/>
    </row>
    <row r="20" spans="1:63" s="1078" customFormat="1" ht="13.5" customHeight="1" x14ac:dyDescent="0.2">
      <c r="A20" s="3551"/>
      <c r="B20" s="3552"/>
      <c r="C20" s="3553"/>
      <c r="D20" s="3557"/>
      <c r="E20" s="3558"/>
      <c r="F20" s="3558"/>
      <c r="G20" s="3552"/>
      <c r="H20" s="3552"/>
      <c r="I20" s="3552"/>
      <c r="J20" s="3562"/>
      <c r="K20" s="3563"/>
      <c r="L20" s="3558"/>
      <c r="M20" s="3562"/>
      <c r="N20" s="3592"/>
      <c r="O20" s="3558"/>
      <c r="P20" s="3594"/>
      <c r="Q20" s="3563"/>
      <c r="R20" s="3615"/>
      <c r="S20" s="3587"/>
      <c r="T20" s="3563"/>
      <c r="U20" s="3563"/>
      <c r="V20" s="3563"/>
      <c r="W20" s="3589"/>
      <c r="X20" s="3597"/>
      <c r="Y20" s="3597"/>
      <c r="Z20" s="3599"/>
      <c r="AA20" s="3600"/>
      <c r="AB20" s="3495"/>
      <c r="AC20" s="3498"/>
      <c r="AD20" s="3495"/>
      <c r="AE20" s="3498"/>
      <c r="AF20" s="3495"/>
      <c r="AG20" s="3498"/>
      <c r="AH20" s="3495"/>
      <c r="AI20" s="3498"/>
      <c r="AJ20" s="3495"/>
      <c r="AK20" s="3498"/>
      <c r="AL20" s="3495"/>
      <c r="AM20" s="3498"/>
      <c r="AN20" s="3495"/>
      <c r="AO20" s="3498"/>
      <c r="AP20" s="3495"/>
      <c r="AQ20" s="3498"/>
      <c r="AR20" s="3495"/>
      <c r="AS20" s="3498"/>
      <c r="AT20" s="3495"/>
      <c r="AU20" s="3498"/>
      <c r="AV20" s="3495"/>
      <c r="AW20" s="3498"/>
      <c r="AX20" s="3495"/>
      <c r="AY20" s="3498"/>
      <c r="AZ20" s="3622"/>
      <c r="BA20" s="3595"/>
      <c r="BB20" s="3617"/>
      <c r="BC20" s="3617"/>
      <c r="BD20" s="3617"/>
      <c r="BE20" s="3617"/>
      <c r="BF20" s="3619"/>
      <c r="BG20" s="3613"/>
      <c r="BH20" s="3611"/>
      <c r="BI20" s="3613"/>
      <c r="BJ20" s="3614"/>
      <c r="BK20" s="1077"/>
    </row>
    <row r="21" spans="1:63" s="1078" customFormat="1" ht="16.5" customHeight="1" x14ac:dyDescent="0.2">
      <c r="A21" s="3551"/>
      <c r="B21" s="3552"/>
      <c r="C21" s="3553"/>
      <c r="D21" s="3557"/>
      <c r="E21" s="3558"/>
      <c r="F21" s="3558"/>
      <c r="G21" s="3552"/>
      <c r="H21" s="3552"/>
      <c r="I21" s="3552"/>
      <c r="J21" s="3562"/>
      <c r="K21" s="3563"/>
      <c r="L21" s="3558"/>
      <c r="M21" s="3562"/>
      <c r="N21" s="3592"/>
      <c r="O21" s="3558"/>
      <c r="P21" s="3594"/>
      <c r="Q21" s="3563"/>
      <c r="R21" s="3615"/>
      <c r="S21" s="3587"/>
      <c r="T21" s="3563"/>
      <c r="U21" s="3563"/>
      <c r="V21" s="3563"/>
      <c r="W21" s="3589"/>
      <c r="X21" s="3597"/>
      <c r="Y21" s="3597"/>
      <c r="Z21" s="3599"/>
      <c r="AA21" s="3600"/>
      <c r="AB21" s="3495"/>
      <c r="AC21" s="3498"/>
      <c r="AD21" s="3495"/>
      <c r="AE21" s="3498"/>
      <c r="AF21" s="3495"/>
      <c r="AG21" s="3498"/>
      <c r="AH21" s="3495"/>
      <c r="AI21" s="3498"/>
      <c r="AJ21" s="3495"/>
      <c r="AK21" s="3498"/>
      <c r="AL21" s="3495"/>
      <c r="AM21" s="3498"/>
      <c r="AN21" s="3495"/>
      <c r="AO21" s="3498"/>
      <c r="AP21" s="3495"/>
      <c r="AQ21" s="3498"/>
      <c r="AR21" s="3495"/>
      <c r="AS21" s="3498"/>
      <c r="AT21" s="3495"/>
      <c r="AU21" s="3498"/>
      <c r="AV21" s="3495"/>
      <c r="AW21" s="3498"/>
      <c r="AX21" s="3495"/>
      <c r="AY21" s="3498"/>
      <c r="AZ21" s="3622"/>
      <c r="BA21" s="3595"/>
      <c r="BB21" s="3617"/>
      <c r="BC21" s="3617"/>
      <c r="BD21" s="3617"/>
      <c r="BE21" s="3617"/>
      <c r="BF21" s="3619"/>
      <c r="BG21" s="3613"/>
      <c r="BH21" s="3611"/>
      <c r="BI21" s="3613"/>
      <c r="BJ21" s="3614"/>
      <c r="BK21" s="1077"/>
    </row>
    <row r="22" spans="1:63" s="1078" customFormat="1" ht="9.75" customHeight="1" x14ac:dyDescent="0.2">
      <c r="A22" s="3551"/>
      <c r="B22" s="3552"/>
      <c r="C22" s="3553"/>
      <c r="D22" s="3557"/>
      <c r="E22" s="3558"/>
      <c r="F22" s="3558"/>
      <c r="G22" s="3552"/>
      <c r="H22" s="3552"/>
      <c r="I22" s="3552"/>
      <c r="J22" s="3562"/>
      <c r="K22" s="3563"/>
      <c r="L22" s="3558"/>
      <c r="M22" s="3562"/>
      <c r="N22" s="3592"/>
      <c r="O22" s="3558"/>
      <c r="P22" s="3594"/>
      <c r="Q22" s="3563"/>
      <c r="R22" s="3615"/>
      <c r="S22" s="3587"/>
      <c r="T22" s="3563"/>
      <c r="U22" s="3563"/>
      <c r="V22" s="3563"/>
      <c r="W22" s="3589"/>
      <c r="X22" s="3597"/>
      <c r="Y22" s="3597"/>
      <c r="Z22" s="3599"/>
      <c r="AA22" s="3600"/>
      <c r="AB22" s="3495"/>
      <c r="AC22" s="3498"/>
      <c r="AD22" s="3495"/>
      <c r="AE22" s="3498"/>
      <c r="AF22" s="3495"/>
      <c r="AG22" s="3498"/>
      <c r="AH22" s="3495"/>
      <c r="AI22" s="3498"/>
      <c r="AJ22" s="3495"/>
      <c r="AK22" s="3498"/>
      <c r="AL22" s="3495"/>
      <c r="AM22" s="3498"/>
      <c r="AN22" s="3495"/>
      <c r="AO22" s="3498"/>
      <c r="AP22" s="3495"/>
      <c r="AQ22" s="3498"/>
      <c r="AR22" s="3495"/>
      <c r="AS22" s="3498"/>
      <c r="AT22" s="3495"/>
      <c r="AU22" s="3498"/>
      <c r="AV22" s="3495"/>
      <c r="AW22" s="3498"/>
      <c r="AX22" s="3495"/>
      <c r="AY22" s="3498"/>
      <c r="AZ22" s="3622"/>
      <c r="BA22" s="3595"/>
      <c r="BB22" s="3617"/>
      <c r="BC22" s="3617"/>
      <c r="BD22" s="3617"/>
      <c r="BE22" s="3617"/>
      <c r="BF22" s="3619"/>
      <c r="BG22" s="3613"/>
      <c r="BH22" s="3611"/>
      <c r="BI22" s="3613"/>
      <c r="BJ22" s="3614"/>
      <c r="BK22" s="1077"/>
    </row>
    <row r="23" spans="1:63" ht="16.5" customHeight="1" thickBot="1" x14ac:dyDescent="0.25">
      <c r="A23" s="3551"/>
      <c r="B23" s="3552"/>
      <c r="C23" s="3553"/>
      <c r="D23" s="3557"/>
      <c r="E23" s="3558"/>
      <c r="F23" s="3558"/>
      <c r="G23" s="3552"/>
      <c r="H23" s="3552"/>
      <c r="I23" s="3552"/>
      <c r="J23" s="3562"/>
      <c r="K23" s="3563"/>
      <c r="L23" s="3558"/>
      <c r="M23" s="3562"/>
      <c r="N23" s="3593"/>
      <c r="O23" s="3558"/>
      <c r="P23" s="3594"/>
      <c r="Q23" s="3563"/>
      <c r="R23" s="3615"/>
      <c r="S23" s="3587"/>
      <c r="T23" s="3563"/>
      <c r="U23" s="3616"/>
      <c r="V23" s="3563"/>
      <c r="W23" s="3590"/>
      <c r="X23" s="3598"/>
      <c r="Y23" s="3598"/>
      <c r="Z23" s="3599"/>
      <c r="AA23" s="3600"/>
      <c r="AB23" s="3495"/>
      <c r="AC23" s="3498"/>
      <c r="AD23" s="3495"/>
      <c r="AE23" s="3498"/>
      <c r="AF23" s="3495"/>
      <c r="AG23" s="3498"/>
      <c r="AH23" s="3495"/>
      <c r="AI23" s="3498"/>
      <c r="AJ23" s="3495"/>
      <c r="AK23" s="3498"/>
      <c r="AL23" s="3495"/>
      <c r="AM23" s="3498"/>
      <c r="AN23" s="3495"/>
      <c r="AO23" s="3498"/>
      <c r="AP23" s="3495"/>
      <c r="AQ23" s="3498"/>
      <c r="AR23" s="3495"/>
      <c r="AS23" s="3498"/>
      <c r="AT23" s="3495"/>
      <c r="AU23" s="3498"/>
      <c r="AV23" s="3495"/>
      <c r="AW23" s="3498"/>
      <c r="AX23" s="3495"/>
      <c r="AY23" s="3498"/>
      <c r="AZ23" s="3623"/>
      <c r="BA23" s="3595"/>
      <c r="BB23" s="3617"/>
      <c r="BC23" s="3617"/>
      <c r="BD23" s="3617"/>
      <c r="BE23" s="3617"/>
      <c r="BF23" s="3620"/>
      <c r="BG23" s="3613"/>
      <c r="BH23" s="3612"/>
      <c r="BI23" s="3613"/>
      <c r="BJ23" s="3614"/>
    </row>
    <row r="24" spans="1:63" ht="15.75" customHeight="1" thickTop="1" x14ac:dyDescent="0.2">
      <c r="A24" s="3551"/>
      <c r="B24" s="3552"/>
      <c r="C24" s="3553"/>
      <c r="D24" s="3557"/>
      <c r="E24" s="3558"/>
      <c r="F24" s="3558"/>
      <c r="G24" s="3552"/>
      <c r="H24" s="3552"/>
      <c r="I24" s="3553"/>
      <c r="J24" s="3624">
        <v>40</v>
      </c>
      <c r="K24" s="3626" t="s">
        <v>828</v>
      </c>
      <c r="L24" s="3628" t="s">
        <v>19</v>
      </c>
      <c r="M24" s="3629">
        <v>0.05</v>
      </c>
      <c r="N24" s="3631">
        <v>0</v>
      </c>
      <c r="O24" s="3634" t="s">
        <v>829</v>
      </c>
      <c r="P24" s="3636">
        <v>52</v>
      </c>
      <c r="Q24" s="3637" t="s">
        <v>830</v>
      </c>
      <c r="R24" s="3643">
        <f>W24/S24</f>
        <v>0.5714285714285714</v>
      </c>
      <c r="S24" s="3648">
        <v>35000000</v>
      </c>
      <c r="T24" s="3637" t="s">
        <v>831</v>
      </c>
      <c r="U24" s="3626" t="s">
        <v>832</v>
      </c>
      <c r="V24" s="3647" t="s">
        <v>833</v>
      </c>
      <c r="W24" s="3583">
        <v>20000000</v>
      </c>
      <c r="X24" s="3601">
        <v>0</v>
      </c>
      <c r="Y24" s="3601">
        <v>0</v>
      </c>
      <c r="Z24" s="3607">
        <v>20</v>
      </c>
      <c r="AA24" s="3604" t="s">
        <v>130</v>
      </c>
      <c r="AB24" s="3495"/>
      <c r="AC24" s="3498"/>
      <c r="AD24" s="3495"/>
      <c r="AE24" s="3498"/>
      <c r="AF24" s="3495"/>
      <c r="AG24" s="3498"/>
      <c r="AH24" s="3495"/>
      <c r="AI24" s="3498"/>
      <c r="AJ24" s="3495"/>
      <c r="AK24" s="3498"/>
      <c r="AL24" s="3495"/>
      <c r="AM24" s="3498"/>
      <c r="AN24" s="3495"/>
      <c r="AO24" s="3498"/>
      <c r="AP24" s="3495"/>
      <c r="AQ24" s="3498"/>
      <c r="AR24" s="3495"/>
      <c r="AS24" s="3498"/>
      <c r="AT24" s="3495"/>
      <c r="AU24" s="3498"/>
      <c r="AV24" s="3495"/>
      <c r="AW24" s="3498"/>
      <c r="AX24" s="3495"/>
      <c r="AY24" s="3498"/>
      <c r="AZ24" s="3582"/>
      <c r="BA24" s="3504"/>
      <c r="BB24" s="3502"/>
      <c r="BC24" s="3502"/>
      <c r="BD24" s="3502"/>
      <c r="BE24" s="3503"/>
      <c r="BF24" s="3503"/>
      <c r="BG24" s="3503"/>
      <c r="BH24" s="3503"/>
      <c r="BI24" s="3503"/>
      <c r="BJ24" s="3677" t="s">
        <v>821</v>
      </c>
    </row>
    <row r="25" spans="1:63" ht="13.5" customHeight="1" x14ac:dyDescent="0.2">
      <c r="A25" s="3551"/>
      <c r="B25" s="3552"/>
      <c r="C25" s="3553"/>
      <c r="D25" s="3557"/>
      <c r="E25" s="3558"/>
      <c r="F25" s="3558"/>
      <c r="G25" s="3552"/>
      <c r="H25" s="3552"/>
      <c r="I25" s="3553"/>
      <c r="J25" s="3625"/>
      <c r="K25" s="3627"/>
      <c r="L25" s="3628"/>
      <c r="M25" s="3630"/>
      <c r="N25" s="3632"/>
      <c r="O25" s="3634"/>
      <c r="P25" s="3636"/>
      <c r="Q25" s="3563"/>
      <c r="R25" s="3644"/>
      <c r="S25" s="3648"/>
      <c r="T25" s="3563"/>
      <c r="U25" s="3627"/>
      <c r="V25" s="3647"/>
      <c r="W25" s="3583"/>
      <c r="X25" s="3602"/>
      <c r="Y25" s="3602"/>
      <c r="Z25" s="3608"/>
      <c r="AA25" s="3605"/>
      <c r="AB25" s="3495"/>
      <c r="AC25" s="3498"/>
      <c r="AD25" s="3495"/>
      <c r="AE25" s="3498"/>
      <c r="AF25" s="3495"/>
      <c r="AG25" s="3498"/>
      <c r="AH25" s="3495"/>
      <c r="AI25" s="3498"/>
      <c r="AJ25" s="3495"/>
      <c r="AK25" s="3498"/>
      <c r="AL25" s="3495"/>
      <c r="AM25" s="3498"/>
      <c r="AN25" s="3495"/>
      <c r="AO25" s="3498"/>
      <c r="AP25" s="3495"/>
      <c r="AQ25" s="3498"/>
      <c r="AR25" s="3495"/>
      <c r="AS25" s="3498"/>
      <c r="AT25" s="3495"/>
      <c r="AU25" s="3498"/>
      <c r="AV25" s="3495"/>
      <c r="AW25" s="3498"/>
      <c r="AX25" s="3495"/>
      <c r="AY25" s="3498"/>
      <c r="AZ25" s="3583"/>
      <c r="BA25" s="3505"/>
      <c r="BB25" s="3502"/>
      <c r="BC25" s="3502"/>
      <c r="BD25" s="3502"/>
      <c r="BE25" s="3503"/>
      <c r="BF25" s="3503"/>
      <c r="BG25" s="3503"/>
      <c r="BH25" s="3503"/>
      <c r="BI25" s="3503"/>
      <c r="BJ25" s="3678"/>
    </row>
    <row r="26" spans="1:63" ht="13.5" customHeight="1" x14ac:dyDescent="0.2">
      <c r="A26" s="3551"/>
      <c r="B26" s="3552"/>
      <c r="C26" s="3553"/>
      <c r="D26" s="3557"/>
      <c r="E26" s="3558"/>
      <c r="F26" s="3558"/>
      <c r="G26" s="3552"/>
      <c r="H26" s="3552"/>
      <c r="I26" s="3553"/>
      <c r="J26" s="3625"/>
      <c r="K26" s="3627"/>
      <c r="L26" s="3628"/>
      <c r="M26" s="3630"/>
      <c r="N26" s="3632"/>
      <c r="O26" s="3634"/>
      <c r="P26" s="3636"/>
      <c r="Q26" s="3563"/>
      <c r="R26" s="3644"/>
      <c r="S26" s="3648"/>
      <c r="T26" s="3563"/>
      <c r="U26" s="3627"/>
      <c r="V26" s="3647"/>
      <c r="W26" s="3583"/>
      <c r="X26" s="3602"/>
      <c r="Y26" s="3602"/>
      <c r="Z26" s="3608"/>
      <c r="AA26" s="3605"/>
      <c r="AB26" s="3495"/>
      <c r="AC26" s="3498"/>
      <c r="AD26" s="3495"/>
      <c r="AE26" s="3498"/>
      <c r="AF26" s="3495"/>
      <c r="AG26" s="3498"/>
      <c r="AH26" s="3495"/>
      <c r="AI26" s="3498"/>
      <c r="AJ26" s="3495"/>
      <c r="AK26" s="3498"/>
      <c r="AL26" s="3495"/>
      <c r="AM26" s="3498"/>
      <c r="AN26" s="3495"/>
      <c r="AO26" s="3498"/>
      <c r="AP26" s="3495"/>
      <c r="AQ26" s="3498"/>
      <c r="AR26" s="3495"/>
      <c r="AS26" s="3498"/>
      <c r="AT26" s="3495"/>
      <c r="AU26" s="3498"/>
      <c r="AV26" s="3495"/>
      <c r="AW26" s="3498"/>
      <c r="AX26" s="3495"/>
      <c r="AY26" s="3498"/>
      <c r="AZ26" s="3583"/>
      <c r="BA26" s="3505"/>
      <c r="BB26" s="3502"/>
      <c r="BC26" s="3502"/>
      <c r="BD26" s="3502"/>
      <c r="BE26" s="3503"/>
      <c r="BF26" s="3503"/>
      <c r="BG26" s="3503"/>
      <c r="BH26" s="3503"/>
      <c r="BI26" s="3503"/>
      <c r="BJ26" s="3678"/>
    </row>
    <row r="27" spans="1:63" ht="13.5" customHeight="1" x14ac:dyDescent="0.2">
      <c r="A27" s="3551"/>
      <c r="B27" s="3552"/>
      <c r="C27" s="3553"/>
      <c r="D27" s="3557"/>
      <c r="E27" s="3558"/>
      <c r="F27" s="3558"/>
      <c r="G27" s="3552"/>
      <c r="H27" s="3552"/>
      <c r="I27" s="3553"/>
      <c r="J27" s="3625"/>
      <c r="K27" s="3627"/>
      <c r="L27" s="3628"/>
      <c r="M27" s="3630"/>
      <c r="N27" s="3632"/>
      <c r="O27" s="3634"/>
      <c r="P27" s="3636"/>
      <c r="Q27" s="3563"/>
      <c r="R27" s="3644"/>
      <c r="S27" s="3648"/>
      <c r="T27" s="3563"/>
      <c r="U27" s="3627"/>
      <c r="V27" s="3647"/>
      <c r="W27" s="3583"/>
      <c r="X27" s="3602"/>
      <c r="Y27" s="3602"/>
      <c r="Z27" s="3608"/>
      <c r="AA27" s="3605"/>
      <c r="AB27" s="3495"/>
      <c r="AC27" s="3498"/>
      <c r="AD27" s="3495"/>
      <c r="AE27" s="3498"/>
      <c r="AF27" s="3495"/>
      <c r="AG27" s="3498"/>
      <c r="AH27" s="3495"/>
      <c r="AI27" s="3498"/>
      <c r="AJ27" s="3495"/>
      <c r="AK27" s="3498"/>
      <c r="AL27" s="3495"/>
      <c r="AM27" s="3498"/>
      <c r="AN27" s="3495"/>
      <c r="AO27" s="3498"/>
      <c r="AP27" s="3495"/>
      <c r="AQ27" s="3498"/>
      <c r="AR27" s="3495"/>
      <c r="AS27" s="3498"/>
      <c r="AT27" s="3495"/>
      <c r="AU27" s="3498"/>
      <c r="AV27" s="3495"/>
      <c r="AW27" s="3498"/>
      <c r="AX27" s="3495"/>
      <c r="AY27" s="3498"/>
      <c r="AZ27" s="3583"/>
      <c r="BA27" s="3505"/>
      <c r="BB27" s="3502"/>
      <c r="BC27" s="3502"/>
      <c r="BD27" s="3502"/>
      <c r="BE27" s="3503"/>
      <c r="BF27" s="3503"/>
      <c r="BG27" s="3503"/>
      <c r="BH27" s="3503"/>
      <c r="BI27" s="3503"/>
      <c r="BJ27" s="3678"/>
    </row>
    <row r="28" spans="1:63" ht="11.25" customHeight="1" x14ac:dyDescent="0.2">
      <c r="A28" s="3551"/>
      <c r="B28" s="3552"/>
      <c r="C28" s="3553"/>
      <c r="D28" s="3557"/>
      <c r="E28" s="3558"/>
      <c r="F28" s="3558"/>
      <c r="G28" s="3552"/>
      <c r="H28" s="3552"/>
      <c r="I28" s="3553"/>
      <c r="J28" s="3625"/>
      <c r="K28" s="3627"/>
      <c r="L28" s="3628"/>
      <c r="M28" s="3630"/>
      <c r="N28" s="3632"/>
      <c r="O28" s="3634"/>
      <c r="P28" s="3636"/>
      <c r="Q28" s="3563"/>
      <c r="R28" s="3644"/>
      <c r="S28" s="3648"/>
      <c r="T28" s="3563"/>
      <c r="U28" s="3627"/>
      <c r="V28" s="3647"/>
      <c r="W28" s="3583"/>
      <c r="X28" s="3602"/>
      <c r="Y28" s="3602"/>
      <c r="Z28" s="3608"/>
      <c r="AA28" s="3605"/>
      <c r="AB28" s="3495"/>
      <c r="AC28" s="3498"/>
      <c r="AD28" s="3495"/>
      <c r="AE28" s="3498"/>
      <c r="AF28" s="3495"/>
      <c r="AG28" s="3498"/>
      <c r="AH28" s="3495"/>
      <c r="AI28" s="3498"/>
      <c r="AJ28" s="3495"/>
      <c r="AK28" s="3498"/>
      <c r="AL28" s="3495"/>
      <c r="AM28" s="3498"/>
      <c r="AN28" s="3495"/>
      <c r="AO28" s="3498"/>
      <c r="AP28" s="3495"/>
      <c r="AQ28" s="3498"/>
      <c r="AR28" s="3495"/>
      <c r="AS28" s="3498"/>
      <c r="AT28" s="3495"/>
      <c r="AU28" s="3498"/>
      <c r="AV28" s="3495"/>
      <c r="AW28" s="3498"/>
      <c r="AX28" s="3495"/>
      <c r="AY28" s="3498"/>
      <c r="AZ28" s="3583"/>
      <c r="BA28" s="3505"/>
      <c r="BB28" s="3502"/>
      <c r="BC28" s="3502"/>
      <c r="BD28" s="3502"/>
      <c r="BE28" s="3503"/>
      <c r="BF28" s="3503"/>
      <c r="BG28" s="3503"/>
      <c r="BH28" s="3503"/>
      <c r="BI28" s="3503"/>
      <c r="BJ28" s="3678"/>
    </row>
    <row r="29" spans="1:63" ht="13.5" customHeight="1" x14ac:dyDescent="0.2">
      <c r="A29" s="3551"/>
      <c r="B29" s="3552"/>
      <c r="C29" s="3553"/>
      <c r="D29" s="3557"/>
      <c r="E29" s="3558"/>
      <c r="F29" s="3558"/>
      <c r="G29" s="3552"/>
      <c r="H29" s="3552"/>
      <c r="I29" s="3553"/>
      <c r="J29" s="3625"/>
      <c r="K29" s="3627"/>
      <c r="L29" s="3628"/>
      <c r="M29" s="3630"/>
      <c r="N29" s="3632"/>
      <c r="O29" s="3634"/>
      <c r="P29" s="3636"/>
      <c r="Q29" s="3563"/>
      <c r="R29" s="3644"/>
      <c r="S29" s="3648"/>
      <c r="T29" s="3563"/>
      <c r="U29" s="3627"/>
      <c r="V29" s="3647"/>
      <c r="W29" s="3583"/>
      <c r="X29" s="3602"/>
      <c r="Y29" s="3602"/>
      <c r="Z29" s="3608"/>
      <c r="AA29" s="3605"/>
      <c r="AB29" s="3495"/>
      <c r="AC29" s="3498"/>
      <c r="AD29" s="3495"/>
      <c r="AE29" s="3498"/>
      <c r="AF29" s="3495"/>
      <c r="AG29" s="3498"/>
      <c r="AH29" s="3495"/>
      <c r="AI29" s="3498"/>
      <c r="AJ29" s="3495"/>
      <c r="AK29" s="3498"/>
      <c r="AL29" s="3495"/>
      <c r="AM29" s="3498"/>
      <c r="AN29" s="3495"/>
      <c r="AO29" s="3498"/>
      <c r="AP29" s="3495"/>
      <c r="AQ29" s="3498"/>
      <c r="AR29" s="3495"/>
      <c r="AS29" s="3498"/>
      <c r="AT29" s="3495"/>
      <c r="AU29" s="3498"/>
      <c r="AV29" s="3495"/>
      <c r="AW29" s="3498"/>
      <c r="AX29" s="3495"/>
      <c r="AY29" s="3498"/>
      <c r="AZ29" s="3583"/>
      <c r="BA29" s="3505"/>
      <c r="BB29" s="3502"/>
      <c r="BC29" s="3502"/>
      <c r="BD29" s="3502"/>
      <c r="BE29" s="3503"/>
      <c r="BF29" s="3503"/>
      <c r="BG29" s="3503"/>
      <c r="BH29" s="3503"/>
      <c r="BI29" s="3503"/>
      <c r="BJ29" s="3678"/>
    </row>
    <row r="30" spans="1:63" x14ac:dyDescent="0.2">
      <c r="A30" s="3551"/>
      <c r="B30" s="3552"/>
      <c r="C30" s="3553"/>
      <c r="D30" s="3557"/>
      <c r="E30" s="3558"/>
      <c r="F30" s="3558"/>
      <c r="G30" s="3552"/>
      <c r="H30" s="3552"/>
      <c r="I30" s="3553"/>
      <c r="J30" s="3625"/>
      <c r="K30" s="3627"/>
      <c r="L30" s="3628"/>
      <c r="M30" s="3630"/>
      <c r="N30" s="3632"/>
      <c r="O30" s="3634"/>
      <c r="P30" s="3636"/>
      <c r="Q30" s="3563"/>
      <c r="R30" s="3644"/>
      <c r="S30" s="3648"/>
      <c r="T30" s="3563"/>
      <c r="U30" s="3627"/>
      <c r="V30" s="3647"/>
      <c r="W30" s="3583"/>
      <c r="X30" s="3602"/>
      <c r="Y30" s="3602"/>
      <c r="Z30" s="3608"/>
      <c r="AA30" s="3605"/>
      <c r="AB30" s="3495"/>
      <c r="AC30" s="3498"/>
      <c r="AD30" s="3495"/>
      <c r="AE30" s="3498"/>
      <c r="AF30" s="3495"/>
      <c r="AG30" s="3498"/>
      <c r="AH30" s="3495"/>
      <c r="AI30" s="3498"/>
      <c r="AJ30" s="3495"/>
      <c r="AK30" s="3498"/>
      <c r="AL30" s="3495"/>
      <c r="AM30" s="3498"/>
      <c r="AN30" s="3495"/>
      <c r="AO30" s="3498"/>
      <c r="AP30" s="3495"/>
      <c r="AQ30" s="3498"/>
      <c r="AR30" s="3495"/>
      <c r="AS30" s="3498"/>
      <c r="AT30" s="3495"/>
      <c r="AU30" s="3498"/>
      <c r="AV30" s="3495"/>
      <c r="AW30" s="3498"/>
      <c r="AX30" s="3495"/>
      <c r="AY30" s="3498"/>
      <c r="AZ30" s="3583"/>
      <c r="BA30" s="3505"/>
      <c r="BB30" s="3502"/>
      <c r="BC30" s="3502"/>
      <c r="BD30" s="3502"/>
      <c r="BE30" s="3503"/>
      <c r="BF30" s="3503"/>
      <c r="BG30" s="3503"/>
      <c r="BH30" s="3503"/>
      <c r="BI30" s="3503"/>
      <c r="BJ30" s="3678"/>
    </row>
    <row r="31" spans="1:63" ht="13.5" customHeight="1" x14ac:dyDescent="0.2">
      <c r="A31" s="3551"/>
      <c r="B31" s="3552"/>
      <c r="C31" s="3553"/>
      <c r="D31" s="3557"/>
      <c r="E31" s="3558"/>
      <c r="F31" s="3558"/>
      <c r="G31" s="3552"/>
      <c r="H31" s="3552"/>
      <c r="I31" s="3553"/>
      <c r="J31" s="3625"/>
      <c r="K31" s="3627"/>
      <c r="L31" s="3628"/>
      <c r="M31" s="3630"/>
      <c r="N31" s="3633"/>
      <c r="O31" s="3634"/>
      <c r="P31" s="3636"/>
      <c r="Q31" s="3563"/>
      <c r="R31" s="3645"/>
      <c r="S31" s="3648"/>
      <c r="T31" s="3563"/>
      <c r="U31" s="3627"/>
      <c r="V31" s="3649"/>
      <c r="W31" s="3650"/>
      <c r="X31" s="3603"/>
      <c r="Y31" s="3603"/>
      <c r="Z31" s="3609"/>
      <c r="AA31" s="3605"/>
      <c r="AB31" s="3495"/>
      <c r="AC31" s="3498"/>
      <c r="AD31" s="3495"/>
      <c r="AE31" s="3498"/>
      <c r="AF31" s="3495"/>
      <c r="AG31" s="3498"/>
      <c r="AH31" s="3495"/>
      <c r="AI31" s="3498"/>
      <c r="AJ31" s="3495"/>
      <c r="AK31" s="3498"/>
      <c r="AL31" s="3495"/>
      <c r="AM31" s="3498"/>
      <c r="AN31" s="3495"/>
      <c r="AO31" s="3498"/>
      <c r="AP31" s="3495"/>
      <c r="AQ31" s="3498"/>
      <c r="AR31" s="3495"/>
      <c r="AS31" s="3498"/>
      <c r="AT31" s="3495"/>
      <c r="AU31" s="3498"/>
      <c r="AV31" s="3495"/>
      <c r="AW31" s="3498"/>
      <c r="AX31" s="3495"/>
      <c r="AY31" s="3498"/>
      <c r="AZ31" s="3583"/>
      <c r="BA31" s="3680"/>
      <c r="BB31" s="3502"/>
      <c r="BC31" s="3502"/>
      <c r="BD31" s="3502"/>
      <c r="BE31" s="3503"/>
      <c r="BF31" s="3503"/>
      <c r="BG31" s="3503"/>
      <c r="BH31" s="3503"/>
      <c r="BI31" s="3503"/>
      <c r="BJ31" s="3678"/>
    </row>
    <row r="32" spans="1:63" ht="13.5" customHeight="1" x14ac:dyDescent="0.2">
      <c r="A32" s="3551"/>
      <c r="B32" s="3552"/>
      <c r="C32" s="3553"/>
      <c r="D32" s="3557"/>
      <c r="E32" s="3558"/>
      <c r="F32" s="3558"/>
      <c r="G32" s="3552"/>
      <c r="H32" s="3552"/>
      <c r="I32" s="3553"/>
      <c r="J32" s="3625">
        <v>41</v>
      </c>
      <c r="K32" s="3627" t="s">
        <v>834</v>
      </c>
      <c r="L32" s="3628"/>
      <c r="M32" s="3639">
        <v>1</v>
      </c>
      <c r="N32" s="3651">
        <v>1</v>
      </c>
      <c r="O32" s="3634"/>
      <c r="P32" s="3636"/>
      <c r="Q32" s="3563"/>
      <c r="R32" s="3652">
        <f>W32/S24</f>
        <v>0.21428571428571427</v>
      </c>
      <c r="S32" s="3648"/>
      <c r="T32" s="3563"/>
      <c r="U32" s="3653" t="s">
        <v>834</v>
      </c>
      <c r="V32" s="3646" t="s">
        <v>835</v>
      </c>
      <c r="W32" s="3582">
        <v>7500000</v>
      </c>
      <c r="X32" s="3601">
        <v>7500000</v>
      </c>
      <c r="Y32" s="3601">
        <v>0</v>
      </c>
      <c r="Z32" s="3607">
        <v>20</v>
      </c>
      <c r="AA32" s="3605"/>
      <c r="AB32" s="3495"/>
      <c r="AC32" s="3498"/>
      <c r="AD32" s="3495"/>
      <c r="AE32" s="3498"/>
      <c r="AF32" s="3495"/>
      <c r="AG32" s="3498"/>
      <c r="AH32" s="3495"/>
      <c r="AI32" s="3498"/>
      <c r="AJ32" s="3495"/>
      <c r="AK32" s="3498"/>
      <c r="AL32" s="3495"/>
      <c r="AM32" s="3498"/>
      <c r="AN32" s="3495"/>
      <c r="AO32" s="3498"/>
      <c r="AP32" s="3495"/>
      <c r="AQ32" s="3498"/>
      <c r="AR32" s="3495"/>
      <c r="AS32" s="3498"/>
      <c r="AT32" s="3495"/>
      <c r="AU32" s="3498"/>
      <c r="AV32" s="3495"/>
      <c r="AW32" s="3498"/>
      <c r="AX32" s="3495"/>
      <c r="AY32" s="3498"/>
      <c r="AZ32" s="3604" t="s">
        <v>836</v>
      </c>
      <c r="BA32" s="3504">
        <v>7500000</v>
      </c>
      <c r="BB32" s="3504">
        <v>0</v>
      </c>
      <c r="BC32" s="3504">
        <v>0</v>
      </c>
      <c r="BD32" s="3504" t="s">
        <v>165</v>
      </c>
      <c r="BE32" s="3506" t="s">
        <v>817</v>
      </c>
      <c r="BF32" s="3508">
        <v>42597</v>
      </c>
      <c r="BG32" s="3500" t="s">
        <v>819</v>
      </c>
      <c r="BH32" s="3508">
        <v>42735</v>
      </c>
      <c r="BI32" s="3500"/>
      <c r="BJ32" s="3678"/>
    </row>
    <row r="33" spans="1:62" ht="13.5" customHeight="1" x14ac:dyDescent="0.2">
      <c r="A33" s="3551"/>
      <c r="B33" s="3552"/>
      <c r="C33" s="3553"/>
      <c r="D33" s="3557"/>
      <c r="E33" s="3558"/>
      <c r="F33" s="3558"/>
      <c r="G33" s="3552"/>
      <c r="H33" s="3552"/>
      <c r="I33" s="3553"/>
      <c r="J33" s="3625"/>
      <c r="K33" s="3627"/>
      <c r="L33" s="3628"/>
      <c r="M33" s="3639"/>
      <c r="N33" s="3651"/>
      <c r="O33" s="3634"/>
      <c r="P33" s="3636"/>
      <c r="Q33" s="3563"/>
      <c r="R33" s="3652"/>
      <c r="S33" s="3648"/>
      <c r="T33" s="3563"/>
      <c r="U33" s="3653"/>
      <c r="V33" s="3647"/>
      <c r="W33" s="3583"/>
      <c r="X33" s="3602"/>
      <c r="Y33" s="3602"/>
      <c r="Z33" s="3608"/>
      <c r="AA33" s="3605"/>
      <c r="AB33" s="3495"/>
      <c r="AC33" s="3498"/>
      <c r="AD33" s="3495"/>
      <c r="AE33" s="3498"/>
      <c r="AF33" s="3495"/>
      <c r="AG33" s="3498"/>
      <c r="AH33" s="3495"/>
      <c r="AI33" s="3498"/>
      <c r="AJ33" s="3495"/>
      <c r="AK33" s="3498"/>
      <c r="AL33" s="3495"/>
      <c r="AM33" s="3498"/>
      <c r="AN33" s="3495"/>
      <c r="AO33" s="3498"/>
      <c r="AP33" s="3495"/>
      <c r="AQ33" s="3498"/>
      <c r="AR33" s="3495"/>
      <c r="AS33" s="3498"/>
      <c r="AT33" s="3495"/>
      <c r="AU33" s="3498"/>
      <c r="AV33" s="3495"/>
      <c r="AW33" s="3498"/>
      <c r="AX33" s="3495"/>
      <c r="AY33" s="3498"/>
      <c r="AZ33" s="3605"/>
      <c r="BA33" s="3505"/>
      <c r="BB33" s="3505"/>
      <c r="BC33" s="3505"/>
      <c r="BD33" s="3505"/>
      <c r="BE33" s="3507"/>
      <c r="BF33" s="3509"/>
      <c r="BG33" s="3501"/>
      <c r="BH33" s="3509"/>
      <c r="BI33" s="3501"/>
      <c r="BJ33" s="3678"/>
    </row>
    <row r="34" spans="1:62" ht="13.5" customHeight="1" x14ac:dyDescent="0.2">
      <c r="A34" s="3551"/>
      <c r="B34" s="3552"/>
      <c r="C34" s="3553"/>
      <c r="D34" s="3557"/>
      <c r="E34" s="3558"/>
      <c r="F34" s="3558"/>
      <c r="G34" s="3552"/>
      <c r="H34" s="3552"/>
      <c r="I34" s="3553"/>
      <c r="J34" s="3625"/>
      <c r="K34" s="3627"/>
      <c r="L34" s="3628"/>
      <c r="M34" s="3639"/>
      <c r="N34" s="3651"/>
      <c r="O34" s="3634"/>
      <c r="P34" s="3636"/>
      <c r="Q34" s="3563"/>
      <c r="R34" s="3652"/>
      <c r="S34" s="3648"/>
      <c r="T34" s="3563"/>
      <c r="U34" s="3653"/>
      <c r="V34" s="3647"/>
      <c r="W34" s="3583"/>
      <c r="X34" s="3602"/>
      <c r="Y34" s="3602"/>
      <c r="Z34" s="3608"/>
      <c r="AA34" s="3605"/>
      <c r="AB34" s="3495"/>
      <c r="AC34" s="3498"/>
      <c r="AD34" s="3495"/>
      <c r="AE34" s="3498"/>
      <c r="AF34" s="3495"/>
      <c r="AG34" s="3498"/>
      <c r="AH34" s="3495"/>
      <c r="AI34" s="3498"/>
      <c r="AJ34" s="3495"/>
      <c r="AK34" s="3498"/>
      <c r="AL34" s="3495"/>
      <c r="AM34" s="3498"/>
      <c r="AN34" s="3495"/>
      <c r="AO34" s="3498"/>
      <c r="AP34" s="3495"/>
      <c r="AQ34" s="3498"/>
      <c r="AR34" s="3495"/>
      <c r="AS34" s="3498"/>
      <c r="AT34" s="3495"/>
      <c r="AU34" s="3498"/>
      <c r="AV34" s="3495"/>
      <c r="AW34" s="3498"/>
      <c r="AX34" s="3495"/>
      <c r="AY34" s="3498"/>
      <c r="AZ34" s="3605"/>
      <c r="BA34" s="3505"/>
      <c r="BB34" s="3505"/>
      <c r="BC34" s="3505"/>
      <c r="BD34" s="3505"/>
      <c r="BE34" s="3507"/>
      <c r="BF34" s="3509"/>
      <c r="BG34" s="3501"/>
      <c r="BH34" s="3509"/>
      <c r="BI34" s="3501"/>
      <c r="BJ34" s="3678"/>
    </row>
    <row r="35" spans="1:62" ht="13.5" customHeight="1" x14ac:dyDescent="0.2">
      <c r="A35" s="3551"/>
      <c r="B35" s="3552"/>
      <c r="C35" s="3553"/>
      <c r="D35" s="3557"/>
      <c r="E35" s="3558"/>
      <c r="F35" s="3558"/>
      <c r="G35" s="3552"/>
      <c r="H35" s="3552"/>
      <c r="I35" s="3553"/>
      <c r="J35" s="3625"/>
      <c r="K35" s="3627"/>
      <c r="L35" s="3628"/>
      <c r="M35" s="3639"/>
      <c r="N35" s="3651"/>
      <c r="O35" s="3634"/>
      <c r="P35" s="3636"/>
      <c r="Q35" s="3563"/>
      <c r="R35" s="3652"/>
      <c r="S35" s="3648"/>
      <c r="T35" s="3563"/>
      <c r="U35" s="3653"/>
      <c r="V35" s="3647"/>
      <c r="W35" s="3583"/>
      <c r="X35" s="3602"/>
      <c r="Y35" s="3602"/>
      <c r="Z35" s="3608"/>
      <c r="AA35" s="3605"/>
      <c r="AB35" s="3495"/>
      <c r="AC35" s="3498"/>
      <c r="AD35" s="3495"/>
      <c r="AE35" s="3498"/>
      <c r="AF35" s="3495"/>
      <c r="AG35" s="3498"/>
      <c r="AH35" s="3495"/>
      <c r="AI35" s="3498"/>
      <c r="AJ35" s="3495"/>
      <c r="AK35" s="3498"/>
      <c r="AL35" s="3495"/>
      <c r="AM35" s="3498"/>
      <c r="AN35" s="3495"/>
      <c r="AO35" s="3498"/>
      <c r="AP35" s="3495"/>
      <c r="AQ35" s="3498"/>
      <c r="AR35" s="3495"/>
      <c r="AS35" s="3498"/>
      <c r="AT35" s="3495"/>
      <c r="AU35" s="3498"/>
      <c r="AV35" s="3495"/>
      <c r="AW35" s="3498"/>
      <c r="AX35" s="3495"/>
      <c r="AY35" s="3498"/>
      <c r="AZ35" s="3605"/>
      <c r="BA35" s="3505"/>
      <c r="BB35" s="3505"/>
      <c r="BC35" s="3505"/>
      <c r="BD35" s="3505"/>
      <c r="BE35" s="3507"/>
      <c r="BF35" s="3509"/>
      <c r="BG35" s="3501"/>
      <c r="BH35" s="3509"/>
      <c r="BI35" s="3501"/>
      <c r="BJ35" s="3678"/>
    </row>
    <row r="36" spans="1:62" ht="13.5" customHeight="1" x14ac:dyDescent="0.2">
      <c r="A36" s="3551"/>
      <c r="B36" s="3552"/>
      <c r="C36" s="3553"/>
      <c r="D36" s="3557"/>
      <c r="E36" s="3558"/>
      <c r="F36" s="3558"/>
      <c r="G36" s="3552"/>
      <c r="H36" s="3552"/>
      <c r="I36" s="3553"/>
      <c r="J36" s="3625"/>
      <c r="K36" s="3627"/>
      <c r="L36" s="3628"/>
      <c r="M36" s="3639"/>
      <c r="N36" s="3651"/>
      <c r="O36" s="3634"/>
      <c r="P36" s="3636"/>
      <c r="Q36" s="3563"/>
      <c r="R36" s="3652"/>
      <c r="S36" s="3648"/>
      <c r="T36" s="3563"/>
      <c r="U36" s="3653"/>
      <c r="V36" s="3647"/>
      <c r="W36" s="3583"/>
      <c r="X36" s="3602"/>
      <c r="Y36" s="3602"/>
      <c r="Z36" s="3608"/>
      <c r="AA36" s="3605"/>
      <c r="AB36" s="3495"/>
      <c r="AC36" s="3498"/>
      <c r="AD36" s="3495"/>
      <c r="AE36" s="3498"/>
      <c r="AF36" s="3495"/>
      <c r="AG36" s="3498"/>
      <c r="AH36" s="3495"/>
      <c r="AI36" s="3498"/>
      <c r="AJ36" s="3495"/>
      <c r="AK36" s="3498"/>
      <c r="AL36" s="3495"/>
      <c r="AM36" s="3498"/>
      <c r="AN36" s="3495"/>
      <c r="AO36" s="3498"/>
      <c r="AP36" s="3495"/>
      <c r="AQ36" s="3498"/>
      <c r="AR36" s="3495"/>
      <c r="AS36" s="3498"/>
      <c r="AT36" s="3495"/>
      <c r="AU36" s="3498"/>
      <c r="AV36" s="3495"/>
      <c r="AW36" s="3498"/>
      <c r="AX36" s="3495"/>
      <c r="AY36" s="3498"/>
      <c r="AZ36" s="3605"/>
      <c r="BA36" s="3505"/>
      <c r="BB36" s="3505"/>
      <c r="BC36" s="3505"/>
      <c r="BD36" s="3505"/>
      <c r="BE36" s="3507"/>
      <c r="BF36" s="3509"/>
      <c r="BG36" s="3501"/>
      <c r="BH36" s="3509"/>
      <c r="BI36" s="3501"/>
      <c r="BJ36" s="3678"/>
    </row>
    <row r="37" spans="1:62" ht="13.5" customHeight="1" x14ac:dyDescent="0.2">
      <c r="A37" s="3551"/>
      <c r="B37" s="3552"/>
      <c r="C37" s="3553"/>
      <c r="D37" s="3557"/>
      <c r="E37" s="3558"/>
      <c r="F37" s="3558"/>
      <c r="G37" s="3552"/>
      <c r="H37" s="3552"/>
      <c r="I37" s="3553"/>
      <c r="J37" s="3625"/>
      <c r="K37" s="3627"/>
      <c r="L37" s="3628"/>
      <c r="M37" s="3639"/>
      <c r="N37" s="3651"/>
      <c r="O37" s="3634"/>
      <c r="P37" s="3636"/>
      <c r="Q37" s="3563"/>
      <c r="R37" s="3652"/>
      <c r="S37" s="3648"/>
      <c r="T37" s="3563"/>
      <c r="U37" s="3653"/>
      <c r="V37" s="3647"/>
      <c r="W37" s="3583"/>
      <c r="X37" s="3602"/>
      <c r="Y37" s="3602"/>
      <c r="Z37" s="3608"/>
      <c r="AA37" s="3605"/>
      <c r="AB37" s="3495"/>
      <c r="AC37" s="3498"/>
      <c r="AD37" s="3495"/>
      <c r="AE37" s="3498"/>
      <c r="AF37" s="3495"/>
      <c r="AG37" s="3498"/>
      <c r="AH37" s="3495"/>
      <c r="AI37" s="3498"/>
      <c r="AJ37" s="3495"/>
      <c r="AK37" s="3498"/>
      <c r="AL37" s="3495"/>
      <c r="AM37" s="3498"/>
      <c r="AN37" s="3495"/>
      <c r="AO37" s="3498"/>
      <c r="AP37" s="3495"/>
      <c r="AQ37" s="3498"/>
      <c r="AR37" s="3495"/>
      <c r="AS37" s="3498"/>
      <c r="AT37" s="3495"/>
      <c r="AU37" s="3498"/>
      <c r="AV37" s="3495"/>
      <c r="AW37" s="3498"/>
      <c r="AX37" s="3495"/>
      <c r="AY37" s="3498"/>
      <c r="AZ37" s="3605"/>
      <c r="BA37" s="3505"/>
      <c r="BB37" s="3505"/>
      <c r="BC37" s="3505"/>
      <c r="BD37" s="3505"/>
      <c r="BE37" s="3507"/>
      <c r="BF37" s="3509"/>
      <c r="BG37" s="3501"/>
      <c r="BH37" s="3509"/>
      <c r="BI37" s="3501"/>
      <c r="BJ37" s="3678"/>
    </row>
    <row r="38" spans="1:62" x14ac:dyDescent="0.2">
      <c r="A38" s="3551"/>
      <c r="B38" s="3552"/>
      <c r="C38" s="3553"/>
      <c r="D38" s="3557"/>
      <c r="E38" s="3558"/>
      <c r="F38" s="3558"/>
      <c r="G38" s="3552"/>
      <c r="H38" s="3552"/>
      <c r="I38" s="3553"/>
      <c r="J38" s="3625"/>
      <c r="K38" s="3627"/>
      <c r="L38" s="3628"/>
      <c r="M38" s="3639"/>
      <c r="N38" s="3651"/>
      <c r="O38" s="3634"/>
      <c r="P38" s="3636"/>
      <c r="Q38" s="3563"/>
      <c r="R38" s="3652"/>
      <c r="S38" s="3648"/>
      <c r="T38" s="3563"/>
      <c r="U38" s="3653"/>
      <c r="V38" s="3647"/>
      <c r="W38" s="3583"/>
      <c r="X38" s="3602"/>
      <c r="Y38" s="3602"/>
      <c r="Z38" s="3608"/>
      <c r="AA38" s="3605"/>
      <c r="AB38" s="3495"/>
      <c r="AC38" s="3498"/>
      <c r="AD38" s="3495"/>
      <c r="AE38" s="3498"/>
      <c r="AF38" s="3495"/>
      <c r="AG38" s="3498"/>
      <c r="AH38" s="3495"/>
      <c r="AI38" s="3498"/>
      <c r="AJ38" s="3495"/>
      <c r="AK38" s="3498"/>
      <c r="AL38" s="3495"/>
      <c r="AM38" s="3498"/>
      <c r="AN38" s="3495"/>
      <c r="AO38" s="3498"/>
      <c r="AP38" s="3495"/>
      <c r="AQ38" s="3498"/>
      <c r="AR38" s="3495"/>
      <c r="AS38" s="3498"/>
      <c r="AT38" s="3495"/>
      <c r="AU38" s="3498"/>
      <c r="AV38" s="3495"/>
      <c r="AW38" s="3498"/>
      <c r="AX38" s="3495"/>
      <c r="AY38" s="3498"/>
      <c r="AZ38" s="3605"/>
      <c r="BA38" s="3505"/>
      <c r="BB38" s="3505"/>
      <c r="BC38" s="3505"/>
      <c r="BD38" s="3505"/>
      <c r="BE38" s="3507"/>
      <c r="BF38" s="3509"/>
      <c r="BG38" s="3501"/>
      <c r="BH38" s="3509"/>
      <c r="BI38" s="3501"/>
      <c r="BJ38" s="3678"/>
    </row>
    <row r="39" spans="1:62" x14ac:dyDescent="0.2">
      <c r="A39" s="3551"/>
      <c r="B39" s="3552"/>
      <c r="C39" s="3553"/>
      <c r="D39" s="3557"/>
      <c r="E39" s="3558"/>
      <c r="F39" s="3558"/>
      <c r="G39" s="3552"/>
      <c r="H39" s="3552"/>
      <c r="I39" s="3553"/>
      <c r="J39" s="3625"/>
      <c r="K39" s="3627"/>
      <c r="L39" s="3628"/>
      <c r="M39" s="3639"/>
      <c r="N39" s="3651"/>
      <c r="O39" s="3634"/>
      <c r="P39" s="3636"/>
      <c r="Q39" s="3563"/>
      <c r="R39" s="3652"/>
      <c r="S39" s="3648"/>
      <c r="T39" s="3563"/>
      <c r="U39" s="3653"/>
      <c r="V39" s="3649"/>
      <c r="W39" s="3650"/>
      <c r="X39" s="3603"/>
      <c r="Y39" s="3603"/>
      <c r="Z39" s="3609"/>
      <c r="AA39" s="3605"/>
      <c r="AB39" s="3495"/>
      <c r="AC39" s="3498"/>
      <c r="AD39" s="3495"/>
      <c r="AE39" s="3498"/>
      <c r="AF39" s="3495"/>
      <c r="AG39" s="3498"/>
      <c r="AH39" s="3495"/>
      <c r="AI39" s="3498"/>
      <c r="AJ39" s="3495"/>
      <c r="AK39" s="3498"/>
      <c r="AL39" s="3495"/>
      <c r="AM39" s="3498"/>
      <c r="AN39" s="3495"/>
      <c r="AO39" s="3498"/>
      <c r="AP39" s="3495"/>
      <c r="AQ39" s="3498"/>
      <c r="AR39" s="3495"/>
      <c r="AS39" s="3498"/>
      <c r="AT39" s="3495"/>
      <c r="AU39" s="3498"/>
      <c r="AV39" s="3495"/>
      <c r="AW39" s="3498"/>
      <c r="AX39" s="3495"/>
      <c r="AY39" s="3498"/>
      <c r="AZ39" s="3605"/>
      <c r="BA39" s="3505"/>
      <c r="BB39" s="3505"/>
      <c r="BC39" s="3505"/>
      <c r="BD39" s="3505"/>
      <c r="BE39" s="3507"/>
      <c r="BF39" s="3509"/>
      <c r="BG39" s="3501"/>
      <c r="BH39" s="3509"/>
      <c r="BI39" s="3501"/>
      <c r="BJ39" s="3678"/>
    </row>
    <row r="40" spans="1:62" ht="13.5" customHeight="1" x14ac:dyDescent="0.2">
      <c r="A40" s="3551"/>
      <c r="B40" s="3552"/>
      <c r="C40" s="3553"/>
      <c r="D40" s="3557"/>
      <c r="E40" s="3558"/>
      <c r="F40" s="3558"/>
      <c r="G40" s="3552"/>
      <c r="H40" s="3552"/>
      <c r="I40" s="3553"/>
      <c r="J40" s="3639">
        <v>42</v>
      </c>
      <c r="K40" s="3563" t="s">
        <v>837</v>
      </c>
      <c r="L40" s="3628"/>
      <c r="M40" s="3639">
        <v>1</v>
      </c>
      <c r="N40" s="3631">
        <v>1</v>
      </c>
      <c r="O40" s="3634"/>
      <c r="P40" s="3636"/>
      <c r="Q40" s="3563"/>
      <c r="R40" s="3643">
        <f>W40/S24</f>
        <v>0.21428571428571427</v>
      </c>
      <c r="S40" s="3648"/>
      <c r="T40" s="3563"/>
      <c r="U40" s="3563" t="s">
        <v>837</v>
      </c>
      <c r="V40" s="3646" t="s">
        <v>838</v>
      </c>
      <c r="W40" s="3582">
        <v>7500000</v>
      </c>
      <c r="X40" s="3601">
        <v>5250000</v>
      </c>
      <c r="Y40" s="3601">
        <v>5250000</v>
      </c>
      <c r="Z40" s="3607">
        <v>20</v>
      </c>
      <c r="AA40" s="3605"/>
      <c r="AB40" s="3495"/>
      <c r="AC40" s="3498"/>
      <c r="AD40" s="3495" t="s">
        <v>811</v>
      </c>
      <c r="AE40" s="3498"/>
      <c r="AF40" s="3495" t="s">
        <v>812</v>
      </c>
      <c r="AG40" s="3498"/>
      <c r="AH40" s="3495" t="s">
        <v>813</v>
      </c>
      <c r="AI40" s="3498"/>
      <c r="AJ40" s="3495" t="s">
        <v>814</v>
      </c>
      <c r="AK40" s="3498"/>
      <c r="AL40" s="3495" t="s">
        <v>815</v>
      </c>
      <c r="AM40" s="3498"/>
      <c r="AN40" s="3495">
        <v>13208</v>
      </c>
      <c r="AO40" s="3498"/>
      <c r="AP40" s="3495">
        <v>1827</v>
      </c>
      <c r="AQ40" s="3498"/>
      <c r="AR40" s="3495"/>
      <c r="AS40" s="3498"/>
      <c r="AT40" s="3495"/>
      <c r="AU40" s="3498"/>
      <c r="AV40" s="3495">
        <v>16897</v>
      </c>
      <c r="AW40" s="3498"/>
      <c r="AX40" s="3495">
        <v>81384</v>
      </c>
      <c r="AY40" s="3498"/>
      <c r="AZ40" s="3599" t="s">
        <v>839</v>
      </c>
      <c r="BA40" s="3490">
        <v>5250000</v>
      </c>
      <c r="BB40" s="3490">
        <v>5250000</v>
      </c>
      <c r="BC40" s="3491">
        <f>+BB40/BA40</f>
        <v>1</v>
      </c>
      <c r="BD40" s="3492" t="s">
        <v>165</v>
      </c>
      <c r="BE40" s="3493" t="s">
        <v>817</v>
      </c>
      <c r="BF40" s="3489">
        <v>42697</v>
      </c>
      <c r="BG40" s="3488">
        <v>42697</v>
      </c>
      <c r="BH40" s="3489">
        <v>42733</v>
      </c>
      <c r="BI40" s="3488">
        <v>42733</v>
      </c>
      <c r="BJ40" s="3678"/>
    </row>
    <row r="41" spans="1:62" ht="13.5" customHeight="1" x14ac:dyDescent="0.2">
      <c r="A41" s="3551"/>
      <c r="B41" s="3552"/>
      <c r="C41" s="3553"/>
      <c r="D41" s="3557"/>
      <c r="E41" s="3558"/>
      <c r="F41" s="3558"/>
      <c r="G41" s="3552"/>
      <c r="H41" s="3552"/>
      <c r="I41" s="3553"/>
      <c r="J41" s="3639"/>
      <c r="K41" s="3563"/>
      <c r="L41" s="3628"/>
      <c r="M41" s="3639"/>
      <c r="N41" s="3632"/>
      <c r="O41" s="3634"/>
      <c r="P41" s="3636"/>
      <c r="Q41" s="3563"/>
      <c r="R41" s="3644"/>
      <c r="S41" s="3648"/>
      <c r="T41" s="3563"/>
      <c r="U41" s="3563"/>
      <c r="V41" s="3647"/>
      <c r="W41" s="3583"/>
      <c r="X41" s="3602"/>
      <c r="Y41" s="3602"/>
      <c r="Z41" s="3608"/>
      <c r="AA41" s="3605"/>
      <c r="AB41" s="3495"/>
      <c r="AC41" s="3498"/>
      <c r="AD41" s="3495"/>
      <c r="AE41" s="3498"/>
      <c r="AF41" s="3495"/>
      <c r="AG41" s="3498"/>
      <c r="AH41" s="3495"/>
      <c r="AI41" s="3498"/>
      <c r="AJ41" s="3495"/>
      <c r="AK41" s="3498"/>
      <c r="AL41" s="3495"/>
      <c r="AM41" s="3498"/>
      <c r="AN41" s="3495"/>
      <c r="AO41" s="3498"/>
      <c r="AP41" s="3495"/>
      <c r="AQ41" s="3498"/>
      <c r="AR41" s="3495"/>
      <c r="AS41" s="3498"/>
      <c r="AT41" s="3495"/>
      <c r="AU41" s="3498"/>
      <c r="AV41" s="3495"/>
      <c r="AW41" s="3498"/>
      <c r="AX41" s="3495"/>
      <c r="AY41" s="3498"/>
      <c r="AZ41" s="3599"/>
      <c r="BA41" s="3490"/>
      <c r="BB41" s="3490"/>
      <c r="BC41" s="3491"/>
      <c r="BD41" s="3492"/>
      <c r="BE41" s="3493"/>
      <c r="BF41" s="3489"/>
      <c r="BG41" s="3488"/>
      <c r="BH41" s="3489"/>
      <c r="BI41" s="3488"/>
      <c r="BJ41" s="3678"/>
    </row>
    <row r="42" spans="1:62" ht="36.75" customHeight="1" x14ac:dyDescent="0.2">
      <c r="A42" s="3551"/>
      <c r="B42" s="3552"/>
      <c r="C42" s="3553"/>
      <c r="D42" s="3557"/>
      <c r="E42" s="3558"/>
      <c r="F42" s="3558"/>
      <c r="G42" s="3552"/>
      <c r="H42" s="3552"/>
      <c r="I42" s="3553"/>
      <c r="J42" s="3639"/>
      <c r="K42" s="3563"/>
      <c r="L42" s="3628"/>
      <c r="M42" s="3639"/>
      <c r="N42" s="3632"/>
      <c r="O42" s="3634"/>
      <c r="P42" s="3636"/>
      <c r="Q42" s="3563"/>
      <c r="R42" s="3644"/>
      <c r="S42" s="3648"/>
      <c r="T42" s="3563"/>
      <c r="U42" s="3563"/>
      <c r="V42" s="3647"/>
      <c r="W42" s="3583"/>
      <c r="X42" s="3602"/>
      <c r="Y42" s="3602"/>
      <c r="Z42" s="3608"/>
      <c r="AA42" s="3605"/>
      <c r="AB42" s="3495"/>
      <c r="AC42" s="3498"/>
      <c r="AD42" s="3495"/>
      <c r="AE42" s="3498"/>
      <c r="AF42" s="3495"/>
      <c r="AG42" s="3498"/>
      <c r="AH42" s="3495"/>
      <c r="AI42" s="3498"/>
      <c r="AJ42" s="3495"/>
      <c r="AK42" s="3498"/>
      <c r="AL42" s="3495"/>
      <c r="AM42" s="3498"/>
      <c r="AN42" s="3495"/>
      <c r="AO42" s="3498"/>
      <c r="AP42" s="3495"/>
      <c r="AQ42" s="3498"/>
      <c r="AR42" s="3495"/>
      <c r="AS42" s="3498"/>
      <c r="AT42" s="3495"/>
      <c r="AU42" s="3498"/>
      <c r="AV42" s="3495"/>
      <c r="AW42" s="3498"/>
      <c r="AX42" s="3495"/>
      <c r="AY42" s="3498"/>
      <c r="AZ42" s="3599"/>
      <c r="BA42" s="3490"/>
      <c r="BB42" s="3490"/>
      <c r="BC42" s="3491"/>
      <c r="BD42" s="3492"/>
      <c r="BE42" s="3493"/>
      <c r="BF42" s="3489"/>
      <c r="BG42" s="3488"/>
      <c r="BH42" s="3489"/>
      <c r="BI42" s="3488"/>
      <c r="BJ42" s="3678"/>
    </row>
    <row r="43" spans="1:62" ht="35.25" customHeight="1" x14ac:dyDescent="0.2">
      <c r="A43" s="3551"/>
      <c r="B43" s="3552"/>
      <c r="C43" s="3553"/>
      <c r="D43" s="3557"/>
      <c r="E43" s="3558"/>
      <c r="F43" s="3558"/>
      <c r="G43" s="3552"/>
      <c r="H43" s="3552"/>
      <c r="I43" s="3553"/>
      <c r="J43" s="3639"/>
      <c r="K43" s="3563"/>
      <c r="L43" s="3628"/>
      <c r="M43" s="3639"/>
      <c r="N43" s="3632"/>
      <c r="O43" s="3634"/>
      <c r="P43" s="3636"/>
      <c r="Q43" s="3563"/>
      <c r="R43" s="3644"/>
      <c r="S43" s="3648"/>
      <c r="T43" s="3563"/>
      <c r="U43" s="3563"/>
      <c r="V43" s="3647"/>
      <c r="W43" s="3583"/>
      <c r="X43" s="3602"/>
      <c r="Y43" s="3602"/>
      <c r="Z43" s="3608"/>
      <c r="AA43" s="3605"/>
      <c r="AB43" s="3495"/>
      <c r="AC43" s="3498"/>
      <c r="AD43" s="3495"/>
      <c r="AE43" s="3498"/>
      <c r="AF43" s="3495"/>
      <c r="AG43" s="3498"/>
      <c r="AH43" s="3495"/>
      <c r="AI43" s="3498"/>
      <c r="AJ43" s="3495"/>
      <c r="AK43" s="3498"/>
      <c r="AL43" s="3495"/>
      <c r="AM43" s="3498"/>
      <c r="AN43" s="3495"/>
      <c r="AO43" s="3498"/>
      <c r="AP43" s="3495"/>
      <c r="AQ43" s="3498"/>
      <c r="AR43" s="3495"/>
      <c r="AS43" s="3498"/>
      <c r="AT43" s="3495"/>
      <c r="AU43" s="3498"/>
      <c r="AV43" s="3495"/>
      <c r="AW43" s="3498"/>
      <c r="AX43" s="3495"/>
      <c r="AY43" s="3498"/>
      <c r="AZ43" s="3599"/>
      <c r="BA43" s="3490"/>
      <c r="BB43" s="3490"/>
      <c r="BC43" s="3491"/>
      <c r="BD43" s="3492"/>
      <c r="BE43" s="3493"/>
      <c r="BF43" s="3489"/>
      <c r="BG43" s="3488"/>
      <c r="BH43" s="3489"/>
      <c r="BI43" s="3488"/>
      <c r="BJ43" s="3678"/>
    </row>
    <row r="44" spans="1:62" ht="13.5" customHeight="1" x14ac:dyDescent="0.2">
      <c r="A44" s="3551"/>
      <c r="B44" s="3552"/>
      <c r="C44" s="3553"/>
      <c r="D44" s="3557"/>
      <c r="E44" s="3558"/>
      <c r="F44" s="3558"/>
      <c r="G44" s="3552"/>
      <c r="H44" s="3552"/>
      <c r="I44" s="3553"/>
      <c r="J44" s="3639"/>
      <c r="K44" s="3563"/>
      <c r="L44" s="3628"/>
      <c r="M44" s="3639"/>
      <c r="N44" s="3632"/>
      <c r="O44" s="3634"/>
      <c r="P44" s="3636"/>
      <c r="Q44" s="3563"/>
      <c r="R44" s="3644"/>
      <c r="S44" s="3648"/>
      <c r="T44" s="3563"/>
      <c r="U44" s="3563"/>
      <c r="V44" s="3647"/>
      <c r="W44" s="3583"/>
      <c r="X44" s="3602"/>
      <c r="Y44" s="3602"/>
      <c r="Z44" s="3608"/>
      <c r="AA44" s="3605"/>
      <c r="AB44" s="3495"/>
      <c r="AC44" s="3498"/>
      <c r="AD44" s="3495"/>
      <c r="AE44" s="3498"/>
      <c r="AF44" s="3495"/>
      <c r="AG44" s="3498"/>
      <c r="AH44" s="3495"/>
      <c r="AI44" s="3498"/>
      <c r="AJ44" s="3495"/>
      <c r="AK44" s="3498"/>
      <c r="AL44" s="3495"/>
      <c r="AM44" s="3498"/>
      <c r="AN44" s="3495"/>
      <c r="AO44" s="3498"/>
      <c r="AP44" s="3495"/>
      <c r="AQ44" s="3498"/>
      <c r="AR44" s="3495"/>
      <c r="AS44" s="3498"/>
      <c r="AT44" s="3495"/>
      <c r="AU44" s="3498"/>
      <c r="AV44" s="3495"/>
      <c r="AW44" s="3498"/>
      <c r="AX44" s="3495"/>
      <c r="AY44" s="3498"/>
      <c r="AZ44" s="3599"/>
      <c r="BA44" s="3490"/>
      <c r="BB44" s="3490"/>
      <c r="BC44" s="3491"/>
      <c r="BD44" s="3492"/>
      <c r="BE44" s="3493"/>
      <c r="BF44" s="3489"/>
      <c r="BG44" s="3488"/>
      <c r="BH44" s="3489"/>
      <c r="BI44" s="3488"/>
      <c r="BJ44" s="3678"/>
    </row>
    <row r="45" spans="1:62" ht="26.25" customHeight="1" x14ac:dyDescent="0.2">
      <c r="A45" s="3551"/>
      <c r="B45" s="3552"/>
      <c r="C45" s="3553"/>
      <c r="D45" s="3557"/>
      <c r="E45" s="3558"/>
      <c r="F45" s="3558"/>
      <c r="G45" s="3552"/>
      <c r="H45" s="3552"/>
      <c r="I45" s="3553"/>
      <c r="J45" s="3640"/>
      <c r="K45" s="3638"/>
      <c r="L45" s="3628"/>
      <c r="M45" s="3640"/>
      <c r="N45" s="3633"/>
      <c r="O45" s="3635"/>
      <c r="P45" s="2307"/>
      <c r="Q45" s="3638"/>
      <c r="R45" s="3645"/>
      <c r="S45" s="3648"/>
      <c r="T45" s="3638"/>
      <c r="U45" s="3638"/>
      <c r="V45" s="3647"/>
      <c r="W45" s="3583"/>
      <c r="X45" s="3603"/>
      <c r="Y45" s="3603"/>
      <c r="Z45" s="3609"/>
      <c r="AA45" s="3606"/>
      <c r="AB45" s="3496"/>
      <c r="AC45" s="3499"/>
      <c r="AD45" s="3496"/>
      <c r="AE45" s="3499"/>
      <c r="AF45" s="3496"/>
      <c r="AG45" s="3499"/>
      <c r="AH45" s="3496"/>
      <c r="AI45" s="3499"/>
      <c r="AJ45" s="3496"/>
      <c r="AK45" s="3499"/>
      <c r="AL45" s="3496"/>
      <c r="AM45" s="3499"/>
      <c r="AN45" s="3496"/>
      <c r="AO45" s="3499"/>
      <c r="AP45" s="3496"/>
      <c r="AQ45" s="3499"/>
      <c r="AR45" s="3496"/>
      <c r="AS45" s="3499"/>
      <c r="AT45" s="3496"/>
      <c r="AU45" s="3499"/>
      <c r="AV45" s="3496"/>
      <c r="AW45" s="3499"/>
      <c r="AX45" s="3496"/>
      <c r="AY45" s="3499"/>
      <c r="AZ45" s="3599"/>
      <c r="BA45" s="3490"/>
      <c r="BB45" s="3490"/>
      <c r="BC45" s="3491"/>
      <c r="BD45" s="3492"/>
      <c r="BE45" s="3493"/>
      <c r="BF45" s="3489"/>
      <c r="BG45" s="3488"/>
      <c r="BH45" s="3489"/>
      <c r="BI45" s="3488"/>
      <c r="BJ45" s="3679"/>
    </row>
    <row r="46" spans="1:62" ht="14.25" customHeight="1" x14ac:dyDescent="0.2">
      <c r="A46" s="3551"/>
      <c r="B46" s="3552"/>
      <c r="C46" s="3553"/>
      <c r="D46" s="3557"/>
      <c r="E46" s="3558"/>
      <c r="F46" s="3558"/>
      <c r="G46" s="3641">
        <v>9</v>
      </c>
      <c r="H46" s="1104" t="s">
        <v>840</v>
      </c>
      <c r="I46" s="1110"/>
      <c r="J46" s="1110"/>
      <c r="K46" s="4900"/>
      <c r="L46" s="1110"/>
      <c r="M46" s="1110"/>
      <c r="N46" s="1111"/>
      <c r="O46" s="1110"/>
      <c r="P46" s="1110"/>
      <c r="Q46" s="1110"/>
      <c r="R46" s="1110"/>
      <c r="S46" s="1110"/>
      <c r="T46" s="1110"/>
      <c r="U46" s="1110"/>
      <c r="V46" s="1110"/>
      <c r="W46" s="1110"/>
      <c r="X46" s="1111"/>
      <c r="Y46" s="1111"/>
      <c r="Z46" s="1110"/>
      <c r="AA46" s="1110"/>
      <c r="AB46" s="1110"/>
      <c r="AC46" s="1111"/>
      <c r="AD46" s="1110"/>
      <c r="AE46" s="1111"/>
      <c r="AF46" s="1110"/>
      <c r="AG46" s="1111"/>
      <c r="AH46" s="1110"/>
      <c r="AI46" s="1111"/>
      <c r="AJ46" s="1110"/>
      <c r="AK46" s="1111"/>
      <c r="AL46" s="1110"/>
      <c r="AM46" s="1111"/>
      <c r="AN46" s="1110"/>
      <c r="AO46" s="1111"/>
      <c r="AP46" s="1110"/>
      <c r="AQ46" s="1111"/>
      <c r="AR46" s="1110"/>
      <c r="AS46" s="1111"/>
      <c r="AT46" s="1110"/>
      <c r="AU46" s="1111"/>
      <c r="AV46" s="1110"/>
      <c r="AW46" s="1111"/>
      <c r="AX46" s="1110"/>
      <c r="AY46" s="1111"/>
      <c r="AZ46" s="1110"/>
      <c r="BA46" s="1112"/>
      <c r="BB46" s="1110"/>
      <c r="BC46" s="1110"/>
      <c r="BD46" s="1113"/>
      <c r="BE46" s="1113"/>
      <c r="BF46" s="1113"/>
      <c r="BG46" s="1111"/>
      <c r="BH46" s="1110"/>
      <c r="BI46" s="1111"/>
      <c r="BJ46" s="3691"/>
    </row>
    <row r="47" spans="1:62" ht="14.25" customHeight="1" x14ac:dyDescent="0.2">
      <c r="A47" s="3551"/>
      <c r="B47" s="3552"/>
      <c r="C47" s="3553"/>
      <c r="D47" s="3557"/>
      <c r="E47" s="3558"/>
      <c r="F47" s="3558"/>
      <c r="G47" s="3642"/>
      <c r="H47" s="1114"/>
      <c r="I47" s="1115"/>
      <c r="J47" s="1115"/>
      <c r="K47" s="4901"/>
      <c r="L47" s="1115"/>
      <c r="M47" s="1115"/>
      <c r="N47" s="1116"/>
      <c r="O47" s="1115"/>
      <c r="P47" s="1115"/>
      <c r="Q47" s="1115"/>
      <c r="R47" s="1115"/>
      <c r="S47" s="1115"/>
      <c r="T47" s="1115"/>
      <c r="U47" s="1115"/>
      <c r="V47" s="1115"/>
      <c r="W47" s="1115"/>
      <c r="X47" s="1116"/>
      <c r="Y47" s="1116"/>
      <c r="Z47" s="1115"/>
      <c r="AA47" s="1115"/>
      <c r="AB47" s="1115"/>
      <c r="AC47" s="1116"/>
      <c r="AD47" s="1115"/>
      <c r="AE47" s="1116"/>
      <c r="AF47" s="1115"/>
      <c r="AG47" s="1116"/>
      <c r="AH47" s="1115"/>
      <c r="AI47" s="1116"/>
      <c r="AJ47" s="1115"/>
      <c r="AK47" s="1116"/>
      <c r="AL47" s="1115"/>
      <c r="AM47" s="1116"/>
      <c r="AN47" s="1115"/>
      <c r="AO47" s="1116"/>
      <c r="AP47" s="1115"/>
      <c r="AQ47" s="1116"/>
      <c r="AR47" s="1115"/>
      <c r="AS47" s="1116"/>
      <c r="AT47" s="1115"/>
      <c r="AU47" s="1116"/>
      <c r="AV47" s="1115"/>
      <c r="AW47" s="1116"/>
      <c r="AX47" s="1115"/>
      <c r="AY47" s="1116"/>
      <c r="AZ47" s="1115"/>
      <c r="BA47" s="1117"/>
      <c r="BB47" s="1115"/>
      <c r="BC47" s="1115"/>
      <c r="BD47" s="1118"/>
      <c r="BE47" s="1118"/>
      <c r="BF47" s="1118"/>
      <c r="BG47" s="1116"/>
      <c r="BH47" s="1115"/>
      <c r="BI47" s="1116"/>
      <c r="BJ47" s="3692"/>
    </row>
    <row r="48" spans="1:62" ht="57" x14ac:dyDescent="0.2">
      <c r="A48" s="3551"/>
      <c r="B48" s="3552"/>
      <c r="C48" s="3553"/>
      <c r="D48" s="3557"/>
      <c r="E48" s="3558"/>
      <c r="F48" s="3558"/>
      <c r="G48" s="3654"/>
      <c r="H48" s="3654"/>
      <c r="I48" s="3655"/>
      <c r="J48" s="2325">
        <v>43</v>
      </c>
      <c r="K48" s="2573" t="s">
        <v>841</v>
      </c>
      <c r="L48" s="3628" t="s">
        <v>19</v>
      </c>
      <c r="M48" s="2365">
        <v>3</v>
      </c>
      <c r="N48" s="2366">
        <v>3</v>
      </c>
      <c r="O48" s="3560" t="s">
        <v>842</v>
      </c>
      <c r="P48" s="3657">
        <v>53</v>
      </c>
      <c r="Q48" s="3659" t="s">
        <v>843</v>
      </c>
      <c r="R48" s="2346">
        <f>W48/S48</f>
        <v>0.24039548022598869</v>
      </c>
      <c r="S48" s="3648">
        <v>177000000</v>
      </c>
      <c r="T48" s="3647" t="s">
        <v>844</v>
      </c>
      <c r="U48" s="3560" t="s">
        <v>845</v>
      </c>
      <c r="V48" s="1119" t="s">
        <v>846</v>
      </c>
      <c r="W48" s="2309">
        <v>42550000</v>
      </c>
      <c r="X48" s="2310">
        <v>38170000</v>
      </c>
      <c r="Y48" s="2310">
        <v>38170000</v>
      </c>
      <c r="Z48" s="3657">
        <v>20</v>
      </c>
      <c r="AA48" s="3635" t="s">
        <v>130</v>
      </c>
      <c r="AB48" s="3478">
        <v>64149</v>
      </c>
      <c r="AC48" s="3475">
        <f>+AB48/($W$48+$W$49+$W$52+$W$54)*($Y$48+$Y$49+$Y$52+$Y$54)</f>
        <v>62561.584067796612</v>
      </c>
      <c r="AD48" s="3478" t="s">
        <v>811</v>
      </c>
      <c r="AE48" s="3475">
        <f>+AD48/($W$48+$W$49+$W$52+$W$54)*($Y$48+$Y$49+$Y$52+$Y$54)</f>
        <v>70436.762033898311</v>
      </c>
      <c r="AF48" s="3478" t="s">
        <v>812</v>
      </c>
      <c r="AG48" s="3475">
        <f>+AF48/($W$48+$W$49+$W$52+$W$54)*($Y$48+$Y$49+$Y$52+$Y$54)</f>
        <v>26797.060677966103</v>
      </c>
      <c r="AH48" s="3478" t="s">
        <v>813</v>
      </c>
      <c r="AI48" s="3475">
        <f>+AH48/($W$48+$W$49+$W$52+$W$54)*($Y$48+$Y$49+$Y$52+$Y$54)</f>
        <v>84694.00372881355</v>
      </c>
      <c r="AJ48" s="3478" t="s">
        <v>814</v>
      </c>
      <c r="AK48" s="3475">
        <f>+AJ48/($W$48+$W$49+$W$52+$W$54)*($Y$48+$Y$49+$Y$52+$Y$54)</f>
        <v>230578.38406779661</v>
      </c>
      <c r="AL48" s="3478" t="s">
        <v>815</v>
      </c>
      <c r="AM48" s="3475">
        <f>+AL48/($W$48+$W$49+$W$52+$W$54)*($Y$48+$Y$49+$Y$52+$Y$54)</f>
        <v>79370.090847457628</v>
      </c>
      <c r="AN48" s="3478">
        <v>13208</v>
      </c>
      <c r="AO48" s="3475">
        <f>+AN48/($W$48+$W$49+$W$52+$W$54)*($Y$48+$Y$49+$Y$52+$Y$54)</f>
        <v>12881.157966101695</v>
      </c>
      <c r="AP48" s="3478">
        <v>1827</v>
      </c>
      <c r="AQ48" s="3475">
        <f>+AP48/($W$48+$W$49+$W$52+$W$54)*($Y$48+$Y$49+$Y$52+$Y$54)</f>
        <v>1781.789491525424</v>
      </c>
      <c r="AR48" s="3478"/>
      <c r="AS48" s="3475"/>
      <c r="AT48" s="3478"/>
      <c r="AU48" s="3475"/>
      <c r="AV48" s="3478">
        <v>16897</v>
      </c>
      <c r="AW48" s="3475">
        <f>+AV48/($W$48+$W$49+$W$52+$W$54)*($Y$48+$Y$49+$Y$52+$Y$54)</f>
        <v>16478.870847457627</v>
      </c>
      <c r="AX48" s="3478">
        <v>81384</v>
      </c>
      <c r="AY48" s="3475">
        <f>+AX48/($W$48+$W$49+$W$52+$W$54)*($Y$48+$Y$49+$Y$52+$Y$54)</f>
        <v>79370.090847457628</v>
      </c>
      <c r="AZ48" s="1120" t="s">
        <v>847</v>
      </c>
      <c r="BA48" s="1121">
        <v>5000000</v>
      </c>
      <c r="BB48" s="1122">
        <v>5000000</v>
      </c>
      <c r="BC48" s="1123">
        <v>100</v>
      </c>
      <c r="BD48" s="1120" t="s">
        <v>165</v>
      </c>
      <c r="BE48" s="1124" t="s">
        <v>848</v>
      </c>
      <c r="BF48" s="1125">
        <v>42597</v>
      </c>
      <c r="BG48" s="1126">
        <v>42614</v>
      </c>
      <c r="BH48" s="1125">
        <v>42735</v>
      </c>
      <c r="BI48" s="1126">
        <v>42673</v>
      </c>
      <c r="BJ48" s="3711" t="s">
        <v>821</v>
      </c>
    </row>
    <row r="49" spans="1:703" ht="57" x14ac:dyDescent="0.2">
      <c r="A49" s="3551"/>
      <c r="B49" s="3552"/>
      <c r="C49" s="3553"/>
      <c r="D49" s="3557"/>
      <c r="E49" s="3558"/>
      <c r="F49" s="3558"/>
      <c r="G49" s="3654"/>
      <c r="H49" s="3654"/>
      <c r="I49" s="3655"/>
      <c r="J49" s="3670">
        <v>44</v>
      </c>
      <c r="K49" s="3567" t="s">
        <v>849</v>
      </c>
      <c r="L49" s="3628"/>
      <c r="M49" s="3662">
        <v>1</v>
      </c>
      <c r="N49" s="3676">
        <v>1</v>
      </c>
      <c r="O49" s="3634"/>
      <c r="P49" s="3636"/>
      <c r="Q49" s="3659"/>
      <c r="R49" s="3643">
        <f>W49/S48</f>
        <v>0.30762711864406778</v>
      </c>
      <c r="S49" s="3648"/>
      <c r="T49" s="3647"/>
      <c r="U49" s="3634"/>
      <c r="V49" s="3716" t="s">
        <v>850</v>
      </c>
      <c r="W49" s="3582">
        <v>54450000</v>
      </c>
      <c r="X49" s="3601">
        <v>54450000</v>
      </c>
      <c r="Y49" s="3601">
        <v>54450000</v>
      </c>
      <c r="Z49" s="3636"/>
      <c r="AA49" s="3635"/>
      <c r="AB49" s="3479"/>
      <c r="AC49" s="3476"/>
      <c r="AD49" s="3479"/>
      <c r="AE49" s="3476"/>
      <c r="AF49" s="3479"/>
      <c r="AG49" s="3476"/>
      <c r="AH49" s="3479"/>
      <c r="AI49" s="3476"/>
      <c r="AJ49" s="3479"/>
      <c r="AK49" s="3476"/>
      <c r="AL49" s="3479"/>
      <c r="AM49" s="3476"/>
      <c r="AN49" s="3479"/>
      <c r="AO49" s="3476"/>
      <c r="AP49" s="3479"/>
      <c r="AQ49" s="3476"/>
      <c r="AR49" s="3479"/>
      <c r="AS49" s="3476"/>
      <c r="AT49" s="3479"/>
      <c r="AU49" s="3476"/>
      <c r="AV49" s="3479"/>
      <c r="AW49" s="3476"/>
      <c r="AX49" s="3479"/>
      <c r="AY49" s="3476"/>
      <c r="AZ49" s="1124" t="s">
        <v>851</v>
      </c>
      <c r="BA49" s="1121">
        <v>68200000</v>
      </c>
      <c r="BB49" s="1122">
        <v>68200000</v>
      </c>
      <c r="BC49" s="1123">
        <v>100</v>
      </c>
      <c r="BD49" s="1120" t="s">
        <v>165</v>
      </c>
      <c r="BE49" s="1124" t="s">
        <v>848</v>
      </c>
      <c r="BF49" s="1125">
        <v>42656</v>
      </c>
      <c r="BG49" s="1126">
        <v>42656</v>
      </c>
      <c r="BH49" s="1125">
        <v>42724</v>
      </c>
      <c r="BI49" s="1126">
        <v>42724</v>
      </c>
      <c r="BJ49" s="3712"/>
    </row>
    <row r="50" spans="1:703" ht="57" x14ac:dyDescent="0.2">
      <c r="A50" s="3551"/>
      <c r="B50" s="3552"/>
      <c r="C50" s="3553"/>
      <c r="D50" s="3557"/>
      <c r="E50" s="3558"/>
      <c r="F50" s="3558"/>
      <c r="G50" s="3654"/>
      <c r="H50" s="3654"/>
      <c r="I50" s="3655"/>
      <c r="J50" s="3671"/>
      <c r="K50" s="3568"/>
      <c r="L50" s="3628"/>
      <c r="M50" s="3675"/>
      <c r="N50" s="3676"/>
      <c r="O50" s="3634"/>
      <c r="P50" s="3636"/>
      <c r="Q50" s="3659"/>
      <c r="R50" s="3644"/>
      <c r="S50" s="3648"/>
      <c r="T50" s="3647"/>
      <c r="U50" s="3634"/>
      <c r="V50" s="3716"/>
      <c r="W50" s="3583"/>
      <c r="X50" s="3602"/>
      <c r="Y50" s="3602"/>
      <c r="Z50" s="3636"/>
      <c r="AA50" s="3558"/>
      <c r="AB50" s="3479"/>
      <c r="AC50" s="3476"/>
      <c r="AD50" s="3479"/>
      <c r="AE50" s="3476"/>
      <c r="AF50" s="3479"/>
      <c r="AG50" s="3476"/>
      <c r="AH50" s="3479"/>
      <c r="AI50" s="3476"/>
      <c r="AJ50" s="3479"/>
      <c r="AK50" s="3476"/>
      <c r="AL50" s="3479"/>
      <c r="AM50" s="3476"/>
      <c r="AN50" s="3479"/>
      <c r="AO50" s="3476"/>
      <c r="AP50" s="3479"/>
      <c r="AQ50" s="3476"/>
      <c r="AR50" s="3479"/>
      <c r="AS50" s="3476"/>
      <c r="AT50" s="3479"/>
      <c r="AU50" s="3476"/>
      <c r="AV50" s="3479"/>
      <c r="AW50" s="3476"/>
      <c r="AX50" s="3479"/>
      <c r="AY50" s="3476"/>
      <c r="AZ50" s="2339" t="s">
        <v>852</v>
      </c>
      <c r="BA50" s="1127">
        <v>4170000</v>
      </c>
      <c r="BB50" s="2362">
        <v>4170000</v>
      </c>
      <c r="BC50" s="2336">
        <v>100</v>
      </c>
      <c r="BD50" s="1128" t="s">
        <v>165</v>
      </c>
      <c r="BE50" s="1129" t="s">
        <v>848</v>
      </c>
      <c r="BF50" s="2358">
        <v>42689</v>
      </c>
      <c r="BG50" s="2355">
        <v>42689</v>
      </c>
      <c r="BH50" s="2358">
        <v>42733</v>
      </c>
      <c r="BI50" s="2355">
        <v>42733</v>
      </c>
      <c r="BJ50" s="3713"/>
    </row>
    <row r="51" spans="1:703" ht="46.5" customHeight="1" x14ac:dyDescent="0.2">
      <c r="A51" s="3551"/>
      <c r="B51" s="3552"/>
      <c r="C51" s="3553"/>
      <c r="D51" s="3557"/>
      <c r="E51" s="3558"/>
      <c r="F51" s="3558"/>
      <c r="G51" s="3654"/>
      <c r="H51" s="3654"/>
      <c r="I51" s="3655"/>
      <c r="J51" s="3624"/>
      <c r="K51" s="3626"/>
      <c r="L51" s="3628"/>
      <c r="M51" s="3663"/>
      <c r="N51" s="3676"/>
      <c r="O51" s="3634"/>
      <c r="P51" s="3636"/>
      <c r="Q51" s="3659"/>
      <c r="R51" s="3645"/>
      <c r="S51" s="3648"/>
      <c r="T51" s="3647"/>
      <c r="U51" s="3634"/>
      <c r="V51" s="3686"/>
      <c r="W51" s="3650"/>
      <c r="X51" s="3603"/>
      <c r="Y51" s="3603"/>
      <c r="Z51" s="3636"/>
      <c r="AA51" s="3558"/>
      <c r="AB51" s="3479"/>
      <c r="AC51" s="3476"/>
      <c r="AD51" s="3479"/>
      <c r="AE51" s="3476"/>
      <c r="AF51" s="3479"/>
      <c r="AG51" s="3476"/>
      <c r="AH51" s="3479"/>
      <c r="AI51" s="3476"/>
      <c r="AJ51" s="3479"/>
      <c r="AK51" s="3476"/>
      <c r="AL51" s="3479"/>
      <c r="AM51" s="3476"/>
      <c r="AN51" s="3479"/>
      <c r="AO51" s="3476"/>
      <c r="AP51" s="3479"/>
      <c r="AQ51" s="3476"/>
      <c r="AR51" s="3479"/>
      <c r="AS51" s="3476"/>
      <c r="AT51" s="3479"/>
      <c r="AU51" s="3476"/>
      <c r="AV51" s="3479"/>
      <c r="AW51" s="3476"/>
      <c r="AX51" s="3479"/>
      <c r="AY51" s="3481"/>
      <c r="AZ51" s="3471" t="s">
        <v>853</v>
      </c>
      <c r="BA51" s="3687">
        <v>4800000</v>
      </c>
      <c r="BB51" s="3689">
        <v>4800000</v>
      </c>
      <c r="BC51" s="3471">
        <v>100</v>
      </c>
      <c r="BD51" s="3471" t="s">
        <v>165</v>
      </c>
      <c r="BE51" s="3473" t="s">
        <v>821</v>
      </c>
      <c r="BF51" s="3681">
        <v>42691</v>
      </c>
      <c r="BG51" s="3683">
        <v>42691</v>
      </c>
      <c r="BH51" s="3681">
        <v>42733</v>
      </c>
      <c r="BI51" s="3683">
        <v>42733</v>
      </c>
      <c r="BJ51" s="3714"/>
    </row>
    <row r="52" spans="1:703" x14ac:dyDescent="0.2">
      <c r="A52" s="3551"/>
      <c r="B52" s="3552"/>
      <c r="C52" s="3553"/>
      <c r="D52" s="3557"/>
      <c r="E52" s="3558"/>
      <c r="F52" s="3558"/>
      <c r="G52" s="3654"/>
      <c r="H52" s="3654"/>
      <c r="I52" s="3655"/>
      <c r="J52" s="3660">
        <v>45</v>
      </c>
      <c r="K52" s="4902" t="s">
        <v>854</v>
      </c>
      <c r="L52" s="3628"/>
      <c r="M52" s="3662">
        <v>2</v>
      </c>
      <c r="N52" s="3664">
        <v>2</v>
      </c>
      <c r="O52" s="3634"/>
      <c r="P52" s="3636"/>
      <c r="Q52" s="3659"/>
      <c r="R52" s="3643">
        <f>W52/S48</f>
        <v>0.11299435028248588</v>
      </c>
      <c r="S52" s="3648"/>
      <c r="T52" s="3647"/>
      <c r="U52" s="3634"/>
      <c r="V52" s="3685" t="s">
        <v>855</v>
      </c>
      <c r="W52" s="3582">
        <v>20000000</v>
      </c>
      <c r="X52" s="3601">
        <v>20000000</v>
      </c>
      <c r="Y52" s="3601">
        <v>20000000</v>
      </c>
      <c r="Z52" s="3636"/>
      <c r="AA52" s="3558"/>
      <c r="AB52" s="3479"/>
      <c r="AC52" s="3476"/>
      <c r="AD52" s="3479"/>
      <c r="AE52" s="3476"/>
      <c r="AF52" s="3479"/>
      <c r="AG52" s="3476"/>
      <c r="AH52" s="3479"/>
      <c r="AI52" s="3476"/>
      <c r="AJ52" s="3479"/>
      <c r="AK52" s="3476"/>
      <c r="AL52" s="3479"/>
      <c r="AM52" s="3476"/>
      <c r="AN52" s="3479"/>
      <c r="AO52" s="3476"/>
      <c r="AP52" s="3479"/>
      <c r="AQ52" s="3476"/>
      <c r="AR52" s="3479"/>
      <c r="AS52" s="3476"/>
      <c r="AT52" s="3479"/>
      <c r="AU52" s="3476"/>
      <c r="AV52" s="3479"/>
      <c r="AW52" s="3476"/>
      <c r="AX52" s="3479"/>
      <c r="AY52" s="3481"/>
      <c r="AZ52" s="3472"/>
      <c r="BA52" s="3688"/>
      <c r="BB52" s="3690"/>
      <c r="BC52" s="3472"/>
      <c r="BD52" s="3472"/>
      <c r="BE52" s="3474"/>
      <c r="BF52" s="3682"/>
      <c r="BG52" s="3684"/>
      <c r="BH52" s="3682"/>
      <c r="BI52" s="3684"/>
      <c r="BJ52" s="3714"/>
    </row>
    <row r="53" spans="1:703" ht="106.5" customHeight="1" x14ac:dyDescent="0.2">
      <c r="A53" s="3551"/>
      <c r="B53" s="3552"/>
      <c r="C53" s="3553"/>
      <c r="D53" s="3557"/>
      <c r="E53" s="3558"/>
      <c r="F53" s="3558"/>
      <c r="G53" s="3654"/>
      <c r="H53" s="3654"/>
      <c r="I53" s="3655"/>
      <c r="J53" s="3661"/>
      <c r="K53" s="4903"/>
      <c r="L53" s="3628"/>
      <c r="M53" s="3663"/>
      <c r="N53" s="3665"/>
      <c r="O53" s="3634"/>
      <c r="P53" s="3636"/>
      <c r="Q53" s="3659"/>
      <c r="R53" s="3645"/>
      <c r="S53" s="3648"/>
      <c r="T53" s="3647"/>
      <c r="U53" s="3634"/>
      <c r="V53" s="3686"/>
      <c r="W53" s="3650"/>
      <c r="X53" s="3603"/>
      <c r="Y53" s="3603"/>
      <c r="Z53" s="3658"/>
      <c r="AA53" s="3558"/>
      <c r="AB53" s="3479"/>
      <c r="AC53" s="3476"/>
      <c r="AD53" s="3479"/>
      <c r="AE53" s="3476"/>
      <c r="AF53" s="3479"/>
      <c r="AG53" s="3476"/>
      <c r="AH53" s="3479"/>
      <c r="AI53" s="3476"/>
      <c r="AJ53" s="3479"/>
      <c r="AK53" s="3476"/>
      <c r="AL53" s="3479"/>
      <c r="AM53" s="3476"/>
      <c r="AN53" s="3479"/>
      <c r="AO53" s="3476"/>
      <c r="AP53" s="3479"/>
      <c r="AQ53" s="3476"/>
      <c r="AR53" s="3479"/>
      <c r="AS53" s="3476"/>
      <c r="AT53" s="3479"/>
      <c r="AU53" s="3476"/>
      <c r="AV53" s="3479"/>
      <c r="AW53" s="3476"/>
      <c r="AX53" s="3479"/>
      <c r="AY53" s="3476"/>
      <c r="AZ53" s="1130" t="s">
        <v>856</v>
      </c>
      <c r="BA53" s="2319">
        <v>30450000</v>
      </c>
      <c r="BB53" s="2363">
        <v>30450000</v>
      </c>
      <c r="BC53" s="2337">
        <v>100</v>
      </c>
      <c r="BD53" s="2337" t="s">
        <v>165</v>
      </c>
      <c r="BE53" s="1131" t="s">
        <v>821</v>
      </c>
      <c r="BF53" s="2359">
        <v>42597</v>
      </c>
      <c r="BG53" s="2356">
        <v>42621</v>
      </c>
      <c r="BH53" s="2359">
        <v>42735</v>
      </c>
      <c r="BI53" s="2356">
        <v>42727</v>
      </c>
      <c r="BJ53" s="3713"/>
    </row>
    <row r="54" spans="1:703" ht="13.5" customHeight="1" x14ac:dyDescent="0.2">
      <c r="A54" s="3551"/>
      <c r="B54" s="3552"/>
      <c r="C54" s="3553"/>
      <c r="D54" s="3557"/>
      <c r="E54" s="3558"/>
      <c r="F54" s="3558"/>
      <c r="G54" s="3654"/>
      <c r="H54" s="3654"/>
      <c r="I54" s="3655"/>
      <c r="J54" s="3639">
        <v>46</v>
      </c>
      <c r="K54" s="3563" t="s">
        <v>857</v>
      </c>
      <c r="L54" s="3628"/>
      <c r="M54" s="3666">
        <v>1</v>
      </c>
      <c r="N54" s="3667">
        <v>1</v>
      </c>
      <c r="O54" s="3634" t="s">
        <v>858</v>
      </c>
      <c r="P54" s="3636"/>
      <c r="Q54" s="3659"/>
      <c r="R54" s="3645">
        <f>W54/S48</f>
        <v>0.33898305084745761</v>
      </c>
      <c r="S54" s="3648"/>
      <c r="T54" s="3647"/>
      <c r="U54" s="3563" t="s">
        <v>859</v>
      </c>
      <c r="V54" s="3567" t="s">
        <v>860</v>
      </c>
      <c r="W54" s="3710">
        <v>60000000</v>
      </c>
      <c r="X54" s="3502">
        <v>60000000</v>
      </c>
      <c r="Y54" s="3601">
        <v>60000000</v>
      </c>
      <c r="Z54" s="3657">
        <v>88</v>
      </c>
      <c r="AA54" s="3558" t="s">
        <v>251</v>
      </c>
      <c r="AB54" s="3479"/>
      <c r="AC54" s="3476"/>
      <c r="AD54" s="3479"/>
      <c r="AE54" s="3476"/>
      <c r="AF54" s="3479"/>
      <c r="AG54" s="3476"/>
      <c r="AH54" s="3479"/>
      <c r="AI54" s="3476"/>
      <c r="AJ54" s="3479"/>
      <c r="AK54" s="3476"/>
      <c r="AL54" s="3479"/>
      <c r="AM54" s="3476"/>
      <c r="AN54" s="3479"/>
      <c r="AO54" s="3476"/>
      <c r="AP54" s="3479"/>
      <c r="AQ54" s="3476"/>
      <c r="AR54" s="3479"/>
      <c r="AS54" s="3476"/>
      <c r="AT54" s="3479"/>
      <c r="AU54" s="3476"/>
      <c r="AV54" s="3479"/>
      <c r="AW54" s="3476"/>
      <c r="AX54" s="3479"/>
      <c r="AY54" s="3476"/>
      <c r="AZ54" s="3706" t="s">
        <v>861</v>
      </c>
      <c r="BA54" s="3687">
        <v>60000000</v>
      </c>
      <c r="BB54" s="3689">
        <v>60000000</v>
      </c>
      <c r="BC54" s="3702">
        <f>+BB54/BA54</f>
        <v>1</v>
      </c>
      <c r="BD54" s="3471" t="s">
        <v>862</v>
      </c>
      <c r="BE54" s="3706" t="s">
        <v>863</v>
      </c>
      <c r="BF54" s="3681">
        <v>42628</v>
      </c>
      <c r="BG54" s="3683">
        <v>42628</v>
      </c>
      <c r="BH54" s="3681">
        <v>42735</v>
      </c>
      <c r="BI54" s="3683">
        <v>42735</v>
      </c>
      <c r="BJ54" s="3713"/>
    </row>
    <row r="55" spans="1:703" ht="13.5" customHeight="1" x14ac:dyDescent="0.2">
      <c r="A55" s="3551"/>
      <c r="B55" s="3552"/>
      <c r="C55" s="3553"/>
      <c r="D55" s="3557"/>
      <c r="E55" s="3558"/>
      <c r="F55" s="3558"/>
      <c r="G55" s="3654"/>
      <c r="H55" s="3654"/>
      <c r="I55" s="3655"/>
      <c r="J55" s="3639"/>
      <c r="K55" s="3563"/>
      <c r="L55" s="3628"/>
      <c r="M55" s="3666"/>
      <c r="N55" s="3668"/>
      <c r="O55" s="3634"/>
      <c r="P55" s="3636"/>
      <c r="Q55" s="3659"/>
      <c r="R55" s="3652"/>
      <c r="S55" s="3648"/>
      <c r="T55" s="3647"/>
      <c r="U55" s="3563"/>
      <c r="V55" s="3568"/>
      <c r="W55" s="3710"/>
      <c r="X55" s="3502"/>
      <c r="Y55" s="3602"/>
      <c r="Z55" s="3636"/>
      <c r="AA55" s="3558"/>
      <c r="AB55" s="3479"/>
      <c r="AC55" s="3476"/>
      <c r="AD55" s="3479"/>
      <c r="AE55" s="3476"/>
      <c r="AF55" s="3479"/>
      <c r="AG55" s="3476"/>
      <c r="AH55" s="3479"/>
      <c r="AI55" s="3476"/>
      <c r="AJ55" s="3479"/>
      <c r="AK55" s="3476"/>
      <c r="AL55" s="3479"/>
      <c r="AM55" s="3476"/>
      <c r="AN55" s="3479"/>
      <c r="AO55" s="3476"/>
      <c r="AP55" s="3479"/>
      <c r="AQ55" s="3476"/>
      <c r="AR55" s="3479"/>
      <c r="AS55" s="3476"/>
      <c r="AT55" s="3479"/>
      <c r="AU55" s="3476"/>
      <c r="AV55" s="3479"/>
      <c r="AW55" s="3476"/>
      <c r="AX55" s="3479"/>
      <c r="AY55" s="3476"/>
      <c r="AZ55" s="3707"/>
      <c r="BA55" s="3700"/>
      <c r="BB55" s="3701"/>
      <c r="BC55" s="3703"/>
      <c r="BD55" s="3705"/>
      <c r="BE55" s="3707"/>
      <c r="BF55" s="3709"/>
      <c r="BG55" s="3720"/>
      <c r="BH55" s="3709"/>
      <c r="BI55" s="3720"/>
      <c r="BJ55" s="3713"/>
    </row>
    <row r="56" spans="1:703" ht="13.5" customHeight="1" x14ac:dyDescent="0.2">
      <c r="A56" s="3551"/>
      <c r="B56" s="3552"/>
      <c r="C56" s="3553"/>
      <c r="D56" s="3557"/>
      <c r="E56" s="3558"/>
      <c r="F56" s="3558"/>
      <c r="G56" s="3654"/>
      <c r="H56" s="3654"/>
      <c r="I56" s="3655"/>
      <c r="J56" s="3639"/>
      <c r="K56" s="3563"/>
      <c r="L56" s="3628"/>
      <c r="M56" s="3666"/>
      <c r="N56" s="3668"/>
      <c r="O56" s="3634"/>
      <c r="P56" s="3636"/>
      <c r="Q56" s="3659"/>
      <c r="R56" s="3652"/>
      <c r="S56" s="3648"/>
      <c r="T56" s="3647"/>
      <c r="U56" s="3563"/>
      <c r="V56" s="3568"/>
      <c r="W56" s="3710"/>
      <c r="X56" s="3502"/>
      <c r="Y56" s="3602"/>
      <c r="Z56" s="3636"/>
      <c r="AA56" s="3558"/>
      <c r="AB56" s="3479"/>
      <c r="AC56" s="3476"/>
      <c r="AD56" s="3479"/>
      <c r="AE56" s="3476"/>
      <c r="AF56" s="3479"/>
      <c r="AG56" s="3476"/>
      <c r="AH56" s="3479"/>
      <c r="AI56" s="3476"/>
      <c r="AJ56" s="3479"/>
      <c r="AK56" s="3476"/>
      <c r="AL56" s="3479"/>
      <c r="AM56" s="3476"/>
      <c r="AN56" s="3479"/>
      <c r="AO56" s="3476"/>
      <c r="AP56" s="3479"/>
      <c r="AQ56" s="3476"/>
      <c r="AR56" s="3479"/>
      <c r="AS56" s="3476"/>
      <c r="AT56" s="3479"/>
      <c r="AU56" s="3476"/>
      <c r="AV56" s="3479"/>
      <c r="AW56" s="3476"/>
      <c r="AX56" s="3479"/>
      <c r="AY56" s="3476"/>
      <c r="AZ56" s="3707"/>
      <c r="BA56" s="3700"/>
      <c r="BB56" s="3701"/>
      <c r="BC56" s="3703"/>
      <c r="BD56" s="3705"/>
      <c r="BE56" s="3707"/>
      <c r="BF56" s="3709"/>
      <c r="BG56" s="3720"/>
      <c r="BH56" s="3709"/>
      <c r="BI56" s="3720"/>
      <c r="BJ56" s="3713"/>
    </row>
    <row r="57" spans="1:703" ht="13.5" customHeight="1" x14ac:dyDescent="0.2">
      <c r="A57" s="3551"/>
      <c r="B57" s="3552"/>
      <c r="C57" s="3553"/>
      <c r="D57" s="3557"/>
      <c r="E57" s="3558"/>
      <c r="F57" s="3558"/>
      <c r="G57" s="3654"/>
      <c r="H57" s="3654"/>
      <c r="I57" s="3655"/>
      <c r="J57" s="3639"/>
      <c r="K57" s="3563"/>
      <c r="L57" s="3628"/>
      <c r="M57" s="3666"/>
      <c r="N57" s="3668"/>
      <c r="O57" s="3634"/>
      <c r="P57" s="3636"/>
      <c r="Q57" s="3659"/>
      <c r="R57" s="3652"/>
      <c r="S57" s="3648"/>
      <c r="T57" s="3647"/>
      <c r="U57" s="3563"/>
      <c r="V57" s="3568"/>
      <c r="W57" s="3710"/>
      <c r="X57" s="3502"/>
      <c r="Y57" s="3602"/>
      <c r="Z57" s="3636"/>
      <c r="AA57" s="3558"/>
      <c r="AB57" s="3479"/>
      <c r="AC57" s="3476"/>
      <c r="AD57" s="3479"/>
      <c r="AE57" s="3476"/>
      <c r="AF57" s="3479"/>
      <c r="AG57" s="3476"/>
      <c r="AH57" s="3479"/>
      <c r="AI57" s="3476"/>
      <c r="AJ57" s="3479"/>
      <c r="AK57" s="3476"/>
      <c r="AL57" s="3479"/>
      <c r="AM57" s="3476"/>
      <c r="AN57" s="3479"/>
      <c r="AO57" s="3476"/>
      <c r="AP57" s="3479"/>
      <c r="AQ57" s="3476"/>
      <c r="AR57" s="3479"/>
      <c r="AS57" s="3476"/>
      <c r="AT57" s="3479"/>
      <c r="AU57" s="3476"/>
      <c r="AV57" s="3479"/>
      <c r="AW57" s="3476"/>
      <c r="AX57" s="3479"/>
      <c r="AY57" s="3476"/>
      <c r="AZ57" s="3707"/>
      <c r="BA57" s="3700"/>
      <c r="BB57" s="3701"/>
      <c r="BC57" s="3703"/>
      <c r="BD57" s="3705"/>
      <c r="BE57" s="3707"/>
      <c r="BF57" s="3709"/>
      <c r="BG57" s="3720"/>
      <c r="BH57" s="3709"/>
      <c r="BI57" s="3720"/>
      <c r="BJ57" s="3713"/>
    </row>
    <row r="58" spans="1:703" ht="13.5" customHeight="1" x14ac:dyDescent="0.2">
      <c r="A58" s="3551"/>
      <c r="B58" s="3552"/>
      <c r="C58" s="3553"/>
      <c r="D58" s="3557"/>
      <c r="E58" s="3558"/>
      <c r="F58" s="3558"/>
      <c r="G58" s="3654"/>
      <c r="H58" s="3654"/>
      <c r="I58" s="3655"/>
      <c r="J58" s="3639"/>
      <c r="K58" s="3563"/>
      <c r="L58" s="3628"/>
      <c r="M58" s="3666"/>
      <c r="N58" s="3668"/>
      <c r="O58" s="3634"/>
      <c r="P58" s="3636"/>
      <c r="Q58" s="3659"/>
      <c r="R58" s="3652"/>
      <c r="S58" s="3648"/>
      <c r="T58" s="3647"/>
      <c r="U58" s="3563"/>
      <c r="V58" s="3568"/>
      <c r="W58" s="3710"/>
      <c r="X58" s="3502"/>
      <c r="Y58" s="3602"/>
      <c r="Z58" s="3636"/>
      <c r="AA58" s="3558"/>
      <c r="AB58" s="3479"/>
      <c r="AC58" s="3476"/>
      <c r="AD58" s="3479"/>
      <c r="AE58" s="3476"/>
      <c r="AF58" s="3479"/>
      <c r="AG58" s="3476"/>
      <c r="AH58" s="3479"/>
      <c r="AI58" s="3476"/>
      <c r="AJ58" s="3479"/>
      <c r="AK58" s="3476"/>
      <c r="AL58" s="3479"/>
      <c r="AM58" s="3476"/>
      <c r="AN58" s="3479"/>
      <c r="AO58" s="3476"/>
      <c r="AP58" s="3479"/>
      <c r="AQ58" s="3476"/>
      <c r="AR58" s="3479"/>
      <c r="AS58" s="3476"/>
      <c r="AT58" s="3479"/>
      <c r="AU58" s="3476"/>
      <c r="AV58" s="3479"/>
      <c r="AW58" s="3476"/>
      <c r="AX58" s="3479"/>
      <c r="AY58" s="3476"/>
      <c r="AZ58" s="3707"/>
      <c r="BA58" s="3700"/>
      <c r="BB58" s="3701"/>
      <c r="BC58" s="3703"/>
      <c r="BD58" s="3705"/>
      <c r="BE58" s="3707"/>
      <c r="BF58" s="3709"/>
      <c r="BG58" s="3720"/>
      <c r="BH58" s="3709"/>
      <c r="BI58" s="3720"/>
      <c r="BJ58" s="3713"/>
    </row>
    <row r="59" spans="1:703" ht="13.5" customHeight="1" x14ac:dyDescent="0.2">
      <c r="A59" s="3551"/>
      <c r="B59" s="3552"/>
      <c r="C59" s="3553"/>
      <c r="D59" s="3557"/>
      <c r="E59" s="3558"/>
      <c r="F59" s="3558"/>
      <c r="G59" s="3656"/>
      <c r="H59" s="3654"/>
      <c r="I59" s="3655"/>
      <c r="J59" s="3640"/>
      <c r="K59" s="3638"/>
      <c r="L59" s="3628"/>
      <c r="M59" s="3662"/>
      <c r="N59" s="3669"/>
      <c r="O59" s="3635"/>
      <c r="P59" s="3658"/>
      <c r="Q59" s="3659"/>
      <c r="R59" s="3643"/>
      <c r="S59" s="3648"/>
      <c r="T59" s="3647"/>
      <c r="U59" s="3638"/>
      <c r="V59" s="3568"/>
      <c r="W59" s="3582"/>
      <c r="X59" s="3601"/>
      <c r="Y59" s="3603"/>
      <c r="Z59" s="3658"/>
      <c r="AA59" s="3560"/>
      <c r="AB59" s="3480"/>
      <c r="AC59" s="3477"/>
      <c r="AD59" s="3480"/>
      <c r="AE59" s="3477"/>
      <c r="AF59" s="3480"/>
      <c r="AG59" s="3477"/>
      <c r="AH59" s="3480"/>
      <c r="AI59" s="3477"/>
      <c r="AJ59" s="3480"/>
      <c r="AK59" s="3477"/>
      <c r="AL59" s="3480"/>
      <c r="AM59" s="3477"/>
      <c r="AN59" s="3480"/>
      <c r="AO59" s="3477"/>
      <c r="AP59" s="3480"/>
      <c r="AQ59" s="3477"/>
      <c r="AR59" s="3480"/>
      <c r="AS59" s="3477"/>
      <c r="AT59" s="3480"/>
      <c r="AU59" s="3477"/>
      <c r="AV59" s="3480"/>
      <c r="AW59" s="3477"/>
      <c r="AX59" s="3480"/>
      <c r="AY59" s="3477"/>
      <c r="AZ59" s="3708"/>
      <c r="BA59" s="3688"/>
      <c r="BB59" s="3690"/>
      <c r="BC59" s="3704"/>
      <c r="BD59" s="3472"/>
      <c r="BE59" s="3708"/>
      <c r="BF59" s="3682"/>
      <c r="BG59" s="3684"/>
      <c r="BH59" s="3682"/>
      <c r="BI59" s="3684"/>
      <c r="BJ59" s="3715"/>
    </row>
    <row r="60" spans="1:703" ht="13.5" customHeight="1" x14ac:dyDescent="0.2">
      <c r="A60" s="3551"/>
      <c r="B60" s="3552"/>
      <c r="C60" s="3553"/>
      <c r="D60" s="3557"/>
      <c r="E60" s="3558"/>
      <c r="F60" s="3558"/>
      <c r="G60" s="3641">
        <v>10</v>
      </c>
      <c r="H60" s="1132" t="s">
        <v>864</v>
      </c>
      <c r="I60" s="1133"/>
      <c r="J60" s="1133"/>
      <c r="K60" s="4899"/>
      <c r="L60" s="1133"/>
      <c r="M60" s="1133"/>
      <c r="N60" s="1134"/>
      <c r="O60" s="1133"/>
      <c r="P60" s="1133"/>
      <c r="Q60" s="1133"/>
      <c r="R60" s="1133"/>
      <c r="S60" s="1133"/>
      <c r="T60" s="1133"/>
      <c r="U60" s="1133"/>
      <c r="V60" s="1133"/>
      <c r="W60" s="1133"/>
      <c r="X60" s="1134"/>
      <c r="Y60" s="1134"/>
      <c r="Z60" s="1133"/>
      <c r="AA60" s="1133"/>
      <c r="AB60" s="1133"/>
      <c r="AC60" s="1134"/>
      <c r="AD60" s="1133"/>
      <c r="AE60" s="1134"/>
      <c r="AF60" s="1133"/>
      <c r="AG60" s="1134"/>
      <c r="AH60" s="1133"/>
      <c r="AI60" s="1134"/>
      <c r="AJ60" s="1133"/>
      <c r="AK60" s="1134"/>
      <c r="AL60" s="1133"/>
      <c r="AM60" s="1134"/>
      <c r="AN60" s="1133"/>
      <c r="AO60" s="1134"/>
      <c r="AP60" s="1133"/>
      <c r="AQ60" s="1134"/>
      <c r="AR60" s="1133"/>
      <c r="AS60" s="1134"/>
      <c r="AT60" s="1133"/>
      <c r="AU60" s="1134"/>
      <c r="AV60" s="1133"/>
      <c r="AW60" s="1134"/>
      <c r="AX60" s="1133"/>
      <c r="AY60" s="1134"/>
      <c r="AZ60" s="1133"/>
      <c r="BA60" s="1107"/>
      <c r="BB60" s="1133"/>
      <c r="BC60" s="1133"/>
      <c r="BD60" s="1108"/>
      <c r="BE60" s="1108"/>
      <c r="BF60" s="1108"/>
      <c r="BG60" s="1134"/>
      <c r="BH60" s="1133"/>
      <c r="BI60" s="1134"/>
      <c r="BJ60" s="3691"/>
    </row>
    <row r="61" spans="1:703" ht="13.5" customHeight="1" x14ac:dyDescent="0.2">
      <c r="A61" s="3551"/>
      <c r="B61" s="3552"/>
      <c r="C61" s="3553"/>
      <c r="D61" s="3557"/>
      <c r="E61" s="3558"/>
      <c r="F61" s="3558"/>
      <c r="G61" s="3693"/>
      <c r="H61" s="1135"/>
      <c r="I61" s="1136"/>
      <c r="J61" s="1137"/>
      <c r="K61" s="4904"/>
      <c r="L61" s="1137"/>
      <c r="M61" s="1137"/>
      <c r="N61" s="1138"/>
      <c r="O61" s="1137"/>
      <c r="P61" s="1137"/>
      <c r="Q61" s="1137"/>
      <c r="R61" s="1137"/>
      <c r="S61" s="1137"/>
      <c r="T61" s="1137"/>
      <c r="U61" s="1137"/>
      <c r="V61" s="1137"/>
      <c r="W61" s="1137"/>
      <c r="X61" s="1138"/>
      <c r="Y61" s="1138"/>
      <c r="Z61" s="1137"/>
      <c r="AA61" s="1137"/>
      <c r="AB61" s="1137"/>
      <c r="AC61" s="1138"/>
      <c r="AD61" s="1137"/>
      <c r="AE61" s="1138"/>
      <c r="AF61" s="1137"/>
      <c r="AG61" s="1138"/>
      <c r="AH61" s="1137"/>
      <c r="AI61" s="1138"/>
      <c r="AJ61" s="1137"/>
      <c r="AK61" s="1138"/>
      <c r="AL61" s="1137"/>
      <c r="AM61" s="1138"/>
      <c r="AN61" s="1137"/>
      <c r="AO61" s="1138"/>
      <c r="AP61" s="1137"/>
      <c r="AQ61" s="1138"/>
      <c r="AR61" s="1137"/>
      <c r="AS61" s="1138"/>
      <c r="AT61" s="1137"/>
      <c r="AU61" s="1138"/>
      <c r="AV61" s="1137"/>
      <c r="AW61" s="1138"/>
      <c r="AX61" s="1137"/>
      <c r="AY61" s="1138"/>
      <c r="AZ61" s="1136"/>
      <c r="BA61" s="1139"/>
      <c r="BB61" s="1136"/>
      <c r="BC61" s="1136"/>
      <c r="BD61" s="1140"/>
      <c r="BE61" s="1140"/>
      <c r="BF61" s="1140"/>
      <c r="BG61" s="1141"/>
      <c r="BH61" s="1136"/>
      <c r="BI61" s="1141"/>
      <c r="BJ61" s="3692"/>
    </row>
    <row r="62" spans="1:703" s="1149" customFormat="1" ht="39" customHeight="1" x14ac:dyDescent="0.2">
      <c r="A62" s="3551"/>
      <c r="B62" s="3552"/>
      <c r="C62" s="3553"/>
      <c r="D62" s="3557"/>
      <c r="E62" s="3558"/>
      <c r="F62" s="3559"/>
      <c r="G62" s="1142"/>
      <c r="H62" s="1143"/>
      <c r="I62" s="1144"/>
      <c r="J62" s="3670">
        <v>47</v>
      </c>
      <c r="K62" s="3567" t="s">
        <v>865</v>
      </c>
      <c r="L62" s="3694" t="s">
        <v>866</v>
      </c>
      <c r="M62" s="3670">
        <v>12</v>
      </c>
      <c r="N62" s="3697">
        <v>12</v>
      </c>
      <c r="O62" s="3672" t="s">
        <v>867</v>
      </c>
      <c r="P62" s="3604">
        <v>54</v>
      </c>
      <c r="Q62" s="3567" t="s">
        <v>868</v>
      </c>
      <c r="R62" s="3717">
        <v>1</v>
      </c>
      <c r="S62" s="3582">
        <v>20000000</v>
      </c>
      <c r="T62" s="3567" t="s">
        <v>869</v>
      </c>
      <c r="U62" s="2349" t="s">
        <v>870</v>
      </c>
      <c r="V62" s="1145" t="s">
        <v>871</v>
      </c>
      <c r="W62" s="3582">
        <v>20000000</v>
      </c>
      <c r="X62" s="3601">
        <v>20000000</v>
      </c>
      <c r="Y62" s="3601">
        <v>20000000</v>
      </c>
      <c r="Z62" s="3607">
        <v>20</v>
      </c>
      <c r="AA62" s="3672" t="s">
        <v>130</v>
      </c>
      <c r="AB62" s="3485">
        <f t="shared" ref="AB62:AP62" si="0">AB72</f>
        <v>64149</v>
      </c>
      <c r="AC62" s="3482">
        <f>+AB62/$W$62*$Y$62</f>
        <v>64149</v>
      </c>
      <c r="AD62" s="3485" t="str">
        <f t="shared" si="0"/>
        <v>72.224</v>
      </c>
      <c r="AE62" s="3482">
        <f>+AD62/$W$62*$Y$62</f>
        <v>72224</v>
      </c>
      <c r="AF62" s="3485" t="str">
        <f t="shared" si="0"/>
        <v>27.477</v>
      </c>
      <c r="AG62" s="3482">
        <f>+AF62/$W$62*$Y$62</f>
        <v>27477</v>
      </c>
      <c r="AH62" s="3485" t="str">
        <f t="shared" si="0"/>
        <v>86.843</v>
      </c>
      <c r="AI62" s="3482">
        <f>+AH62/$W$62*$Y$62</f>
        <v>86843</v>
      </c>
      <c r="AJ62" s="3485" t="str">
        <f t="shared" si="0"/>
        <v>236.429</v>
      </c>
      <c r="AK62" s="3482">
        <f>+AJ62/$W$62*$Y$62</f>
        <v>236429</v>
      </c>
      <c r="AL62" s="3485" t="str">
        <f t="shared" si="0"/>
        <v>81.384</v>
      </c>
      <c r="AM62" s="3482">
        <f>+AL62/$W$62*$Y$62</f>
        <v>81384</v>
      </c>
      <c r="AN62" s="3485">
        <f t="shared" si="0"/>
        <v>13208</v>
      </c>
      <c r="AO62" s="3482">
        <f>+AN62/$W$62*$Y$62</f>
        <v>13208</v>
      </c>
      <c r="AP62" s="3485">
        <f t="shared" si="0"/>
        <v>1827</v>
      </c>
      <c r="AQ62" s="3482">
        <f>+AP62/$W$62*$Y$62</f>
        <v>1827</v>
      </c>
      <c r="AR62" s="3485"/>
      <c r="AS62" s="3482"/>
      <c r="AT62" s="3485"/>
      <c r="AU62" s="3482"/>
      <c r="AV62" s="3485"/>
      <c r="AW62" s="3482"/>
      <c r="AX62" s="3485"/>
      <c r="AY62" s="3725"/>
      <c r="AZ62" s="1146" t="s">
        <v>872</v>
      </c>
      <c r="BA62" s="2370">
        <v>7500000</v>
      </c>
      <c r="BB62" s="1147">
        <v>7500000</v>
      </c>
      <c r="BC62" s="3643">
        <f>+BB62/BA62</f>
        <v>1</v>
      </c>
      <c r="BD62" s="1147" t="s">
        <v>165</v>
      </c>
      <c r="BE62" s="1147" t="s">
        <v>873</v>
      </c>
      <c r="BF62" s="2342">
        <v>42508</v>
      </c>
      <c r="BG62" s="2341">
        <v>42508</v>
      </c>
      <c r="BH62" s="2342">
        <v>42597</v>
      </c>
      <c r="BI62" s="2341">
        <v>42597</v>
      </c>
      <c r="BJ62" s="3721" t="s">
        <v>821</v>
      </c>
      <c r="BK62" s="1148"/>
      <c r="BL62" s="1148"/>
      <c r="BM62" s="1148"/>
      <c r="BN62" s="1148"/>
      <c r="BO62" s="1148"/>
      <c r="BP62" s="1148"/>
      <c r="BQ62" s="1148"/>
      <c r="BR62" s="1148"/>
      <c r="BS62" s="1148"/>
      <c r="BT62" s="1148"/>
      <c r="BU62" s="1148"/>
      <c r="BV62" s="1148"/>
      <c r="BW62" s="1148"/>
      <c r="BX62" s="1148"/>
      <c r="BY62" s="1148"/>
      <c r="BZ62" s="1148"/>
      <c r="CA62" s="1148"/>
      <c r="CB62" s="1148"/>
      <c r="CC62" s="1148"/>
      <c r="CD62" s="1148"/>
      <c r="CE62" s="1148"/>
      <c r="CF62" s="1148"/>
      <c r="CG62" s="1148"/>
      <c r="CH62" s="1148"/>
      <c r="CI62" s="1148"/>
      <c r="CJ62" s="1148"/>
      <c r="CK62" s="1148"/>
      <c r="CL62" s="1148"/>
      <c r="CM62" s="1148"/>
      <c r="CN62" s="1148"/>
      <c r="CO62" s="1148"/>
      <c r="CP62" s="1148"/>
      <c r="CQ62" s="1148"/>
      <c r="CR62" s="1148"/>
      <c r="CS62" s="1148"/>
      <c r="CT62" s="1148"/>
      <c r="CU62" s="1148"/>
      <c r="CV62" s="1148"/>
      <c r="CW62" s="1148"/>
      <c r="CX62" s="1148"/>
      <c r="CY62" s="1148"/>
      <c r="CZ62" s="1148"/>
      <c r="DA62" s="1148"/>
      <c r="DB62" s="1148"/>
      <c r="DC62" s="1148"/>
      <c r="DD62" s="1148"/>
      <c r="DE62" s="1148"/>
      <c r="DF62" s="1148"/>
      <c r="DG62" s="1148"/>
      <c r="DH62" s="1148"/>
      <c r="DI62" s="1148"/>
      <c r="DJ62" s="1148"/>
      <c r="DK62" s="1148"/>
      <c r="DL62" s="1148"/>
      <c r="DM62" s="1148"/>
      <c r="DN62" s="1148"/>
      <c r="DO62" s="1148"/>
      <c r="DP62" s="1148"/>
      <c r="DQ62" s="1148"/>
      <c r="DR62" s="1148"/>
      <c r="DS62" s="1148"/>
      <c r="DT62" s="1148"/>
      <c r="DU62" s="1148"/>
      <c r="DV62" s="1148"/>
      <c r="DW62" s="1148"/>
      <c r="DX62" s="1148"/>
      <c r="DY62" s="1148"/>
      <c r="DZ62" s="1148"/>
      <c r="EA62" s="1148"/>
      <c r="EB62" s="1148"/>
      <c r="EC62" s="1148"/>
      <c r="ED62" s="1148"/>
      <c r="EE62" s="1148"/>
      <c r="EF62" s="1148"/>
      <c r="EG62" s="1148"/>
      <c r="EH62" s="1148"/>
      <c r="EI62" s="1148"/>
      <c r="EJ62" s="1148"/>
      <c r="EK62" s="1148"/>
      <c r="EL62" s="1148"/>
      <c r="EM62" s="1148"/>
      <c r="EN62" s="1148"/>
      <c r="EO62" s="1148"/>
      <c r="EP62" s="1148"/>
      <c r="EQ62" s="1148"/>
      <c r="ER62" s="1148"/>
      <c r="ES62" s="1148"/>
      <c r="ET62" s="1148"/>
      <c r="EU62" s="1148"/>
      <c r="EV62" s="1148"/>
      <c r="EW62" s="1148"/>
      <c r="EX62" s="1148"/>
      <c r="EY62" s="1148"/>
      <c r="EZ62" s="1148"/>
      <c r="FA62" s="1148"/>
      <c r="FB62" s="1148"/>
      <c r="FC62" s="1148"/>
      <c r="FD62" s="1148"/>
      <c r="FE62" s="1148"/>
      <c r="FF62" s="1148"/>
      <c r="FG62" s="1148"/>
      <c r="FH62" s="1148"/>
      <c r="FI62" s="1148"/>
      <c r="FJ62" s="1148"/>
      <c r="FK62" s="1148"/>
      <c r="FL62" s="1148"/>
      <c r="FM62" s="1148"/>
      <c r="FN62" s="1148"/>
      <c r="FO62" s="1148"/>
      <c r="FP62" s="1148"/>
      <c r="FQ62" s="1148"/>
      <c r="FR62" s="1148"/>
      <c r="FS62" s="1148"/>
      <c r="FT62" s="1148"/>
      <c r="FU62" s="1148"/>
      <c r="FV62" s="1148"/>
      <c r="FW62" s="1148"/>
      <c r="FX62" s="1148"/>
      <c r="FY62" s="1148"/>
      <c r="FZ62" s="1148"/>
      <c r="GA62" s="1148"/>
      <c r="GB62" s="1148"/>
      <c r="GC62" s="1148"/>
      <c r="GD62" s="1148"/>
      <c r="GE62" s="1148"/>
      <c r="GF62" s="1148"/>
      <c r="GG62" s="1148"/>
      <c r="GH62" s="1148"/>
      <c r="GI62" s="1148"/>
      <c r="GJ62" s="1148"/>
      <c r="GK62" s="1148"/>
      <c r="GL62" s="1148"/>
      <c r="GM62" s="1148"/>
      <c r="GN62" s="1148"/>
      <c r="GO62" s="1148"/>
      <c r="GP62" s="1148"/>
      <c r="GQ62" s="1148"/>
      <c r="GR62" s="1148"/>
      <c r="GS62" s="1148"/>
      <c r="GT62" s="1148"/>
      <c r="GU62" s="1148"/>
      <c r="GV62" s="1148"/>
      <c r="GW62" s="1148"/>
      <c r="GX62" s="1148"/>
      <c r="GY62" s="1148"/>
      <c r="GZ62" s="1148"/>
      <c r="HA62" s="1148"/>
      <c r="HB62" s="1148"/>
      <c r="HC62" s="1148"/>
      <c r="HD62" s="1148"/>
      <c r="HE62" s="1148"/>
      <c r="HF62" s="1148"/>
      <c r="HG62" s="1148"/>
      <c r="HH62" s="1148"/>
      <c r="HI62" s="1148"/>
      <c r="HJ62" s="1148"/>
      <c r="HK62" s="1148"/>
      <c r="HL62" s="1148"/>
      <c r="HM62" s="1148"/>
      <c r="HN62" s="1148"/>
      <c r="HO62" s="1148"/>
      <c r="HP62" s="1148"/>
      <c r="HQ62" s="1148"/>
      <c r="HR62" s="1148"/>
      <c r="HS62" s="1148"/>
      <c r="HT62" s="1148"/>
      <c r="HU62" s="1148"/>
      <c r="HV62" s="1148"/>
      <c r="HW62" s="1148"/>
      <c r="HX62" s="1148"/>
      <c r="HY62" s="1148"/>
      <c r="HZ62" s="1148"/>
      <c r="IA62" s="1148"/>
      <c r="IB62" s="1148"/>
      <c r="IC62" s="1148"/>
      <c r="ID62" s="1148"/>
      <c r="IE62" s="1148"/>
      <c r="IF62" s="1148"/>
      <c r="IG62" s="1148"/>
      <c r="IH62" s="1148"/>
      <c r="II62" s="1148"/>
      <c r="IJ62" s="1148"/>
      <c r="IK62" s="1148"/>
      <c r="IL62" s="1148"/>
      <c r="IM62" s="1148"/>
      <c r="IN62" s="1148"/>
      <c r="IO62" s="1148"/>
      <c r="IP62" s="1148"/>
      <c r="IQ62" s="1148"/>
      <c r="IR62" s="1148"/>
      <c r="IS62" s="1148"/>
      <c r="IT62" s="1148"/>
      <c r="IU62" s="1148"/>
      <c r="IV62" s="1148"/>
      <c r="IW62" s="1148"/>
      <c r="IX62" s="1148"/>
      <c r="IY62" s="1148"/>
      <c r="IZ62" s="1148"/>
      <c r="JA62" s="1148"/>
      <c r="JB62" s="1148"/>
      <c r="JC62" s="1148"/>
      <c r="JD62" s="1148"/>
      <c r="JE62" s="1148"/>
      <c r="JF62" s="1148"/>
      <c r="JG62" s="1148"/>
      <c r="JH62" s="1148"/>
      <c r="JI62" s="1148"/>
      <c r="JJ62" s="1148"/>
      <c r="JK62" s="1148"/>
      <c r="JL62" s="1148"/>
      <c r="JM62" s="1148"/>
      <c r="JN62" s="1148"/>
      <c r="JO62" s="1148"/>
      <c r="JP62" s="1148"/>
      <c r="JQ62" s="1148"/>
      <c r="JR62" s="1148"/>
      <c r="JS62" s="1148"/>
      <c r="JT62" s="1148"/>
      <c r="JU62" s="1148"/>
      <c r="JV62" s="1148"/>
      <c r="JW62" s="1148"/>
      <c r="JX62" s="1148"/>
      <c r="JY62" s="1148"/>
      <c r="JZ62" s="1148"/>
      <c r="KA62" s="1148"/>
      <c r="KB62" s="1148"/>
      <c r="KC62" s="1148"/>
      <c r="KD62" s="1148"/>
      <c r="KE62" s="1148"/>
      <c r="KF62" s="1148"/>
      <c r="KG62" s="1148"/>
      <c r="KH62" s="1148"/>
      <c r="KI62" s="1148"/>
      <c r="KJ62" s="1148"/>
      <c r="KK62" s="1148"/>
      <c r="KL62" s="1148"/>
      <c r="KM62" s="1148"/>
      <c r="KN62" s="1148"/>
      <c r="KO62" s="1148"/>
      <c r="KP62" s="1148"/>
      <c r="KQ62" s="1148"/>
      <c r="KR62" s="1148"/>
      <c r="KS62" s="1148"/>
      <c r="KT62" s="1148"/>
      <c r="KU62" s="1148"/>
      <c r="KV62" s="1148"/>
      <c r="KW62" s="1148"/>
      <c r="KX62" s="1148"/>
      <c r="KY62" s="1148"/>
      <c r="KZ62" s="1148"/>
      <c r="LA62" s="1148"/>
      <c r="LB62" s="1148"/>
      <c r="LC62" s="1148"/>
      <c r="LD62" s="1148"/>
      <c r="LE62" s="1148"/>
      <c r="LF62" s="1148"/>
      <c r="LG62" s="1148"/>
      <c r="LH62" s="1148"/>
      <c r="LI62" s="1148"/>
      <c r="LJ62" s="1148"/>
      <c r="LK62" s="1148"/>
      <c r="LL62" s="1148"/>
      <c r="LM62" s="1148"/>
      <c r="LN62" s="1148"/>
      <c r="LO62" s="1148"/>
      <c r="LP62" s="1148"/>
      <c r="LQ62" s="1148"/>
      <c r="LR62" s="1148"/>
      <c r="LS62" s="1148"/>
      <c r="LT62" s="1148"/>
      <c r="LU62" s="1148"/>
      <c r="LV62" s="1148"/>
      <c r="LW62" s="1148"/>
      <c r="LX62" s="1148"/>
      <c r="LY62" s="1148"/>
      <c r="LZ62" s="1148"/>
      <c r="MA62" s="1148"/>
      <c r="MB62" s="1148"/>
      <c r="MC62" s="1148"/>
      <c r="MD62" s="1148"/>
      <c r="ME62" s="1148"/>
      <c r="MF62" s="1148"/>
      <c r="MG62" s="1148"/>
      <c r="MH62" s="1148"/>
      <c r="MI62" s="1148"/>
      <c r="MJ62" s="1148"/>
      <c r="MK62" s="1148"/>
      <c r="ML62" s="1148"/>
      <c r="MM62" s="1148"/>
      <c r="MN62" s="1148"/>
      <c r="MO62" s="1148"/>
      <c r="MP62" s="1148"/>
      <c r="MQ62" s="1148"/>
      <c r="MR62" s="1148"/>
      <c r="MS62" s="1148"/>
      <c r="MT62" s="1148"/>
      <c r="MU62" s="1148"/>
      <c r="MV62" s="1148"/>
      <c r="MW62" s="1148"/>
      <c r="MX62" s="1148"/>
      <c r="MY62" s="1148"/>
      <c r="MZ62" s="1148"/>
      <c r="NA62" s="1148"/>
      <c r="NB62" s="1148"/>
      <c r="NC62" s="1148"/>
      <c r="ND62" s="1148"/>
      <c r="NE62" s="1148"/>
      <c r="NF62" s="1148"/>
      <c r="NG62" s="1148"/>
      <c r="NH62" s="1148"/>
      <c r="NI62" s="1148"/>
      <c r="NJ62" s="1148"/>
      <c r="NK62" s="1148"/>
      <c r="NL62" s="1148"/>
      <c r="NM62" s="1148"/>
      <c r="NN62" s="1148"/>
      <c r="NO62" s="1148"/>
      <c r="NP62" s="1148"/>
      <c r="NQ62" s="1148"/>
      <c r="NR62" s="1148"/>
      <c r="NS62" s="1148"/>
      <c r="NT62" s="1148"/>
      <c r="NU62" s="1148"/>
      <c r="NV62" s="1148"/>
      <c r="NW62" s="1148"/>
      <c r="NX62" s="1148"/>
      <c r="NY62" s="1148"/>
      <c r="NZ62" s="1148"/>
      <c r="OA62" s="1148"/>
      <c r="OB62" s="1148"/>
      <c r="OC62" s="1148"/>
      <c r="OD62" s="1148"/>
      <c r="OE62" s="1148"/>
      <c r="OF62" s="1148"/>
      <c r="OG62" s="1148"/>
      <c r="OH62" s="1148"/>
      <c r="OI62" s="1148"/>
      <c r="OJ62" s="1148"/>
      <c r="OK62" s="1148"/>
      <c r="OL62" s="1148"/>
      <c r="OM62" s="1148"/>
      <c r="ON62" s="1148"/>
      <c r="OO62" s="1148"/>
      <c r="OP62" s="1148"/>
      <c r="OQ62" s="1148"/>
      <c r="OR62" s="1148"/>
      <c r="OS62" s="1148"/>
      <c r="OT62" s="1148"/>
      <c r="OU62" s="1148"/>
      <c r="OV62" s="1148"/>
      <c r="OW62" s="1148"/>
      <c r="OX62" s="1148"/>
      <c r="OY62" s="1148"/>
      <c r="OZ62" s="1148"/>
      <c r="PA62" s="1148"/>
      <c r="PB62" s="1148"/>
      <c r="PC62" s="1148"/>
      <c r="PD62" s="1148"/>
      <c r="PE62" s="1148"/>
      <c r="PF62" s="1148"/>
      <c r="PG62" s="1148"/>
      <c r="PH62" s="1148"/>
      <c r="PI62" s="1148"/>
      <c r="PJ62" s="1148"/>
      <c r="PK62" s="1148"/>
      <c r="PL62" s="1148"/>
      <c r="PM62" s="1148"/>
      <c r="PN62" s="1148"/>
      <c r="PO62" s="1148"/>
      <c r="PP62" s="1148"/>
      <c r="PQ62" s="1148"/>
      <c r="PR62" s="1148"/>
      <c r="PS62" s="1148"/>
      <c r="PT62" s="1148"/>
      <c r="PU62" s="1148"/>
      <c r="PV62" s="1148"/>
      <c r="PW62" s="1148"/>
      <c r="PX62" s="1148"/>
      <c r="PY62" s="1148"/>
      <c r="PZ62" s="1148"/>
      <c r="QA62" s="1148"/>
      <c r="QB62" s="1148"/>
      <c r="QC62" s="1148"/>
      <c r="QD62" s="1148"/>
      <c r="QE62" s="1148"/>
      <c r="QF62" s="1148"/>
      <c r="QG62" s="1148"/>
      <c r="QH62" s="1148"/>
      <c r="QI62" s="1148"/>
      <c r="QJ62" s="1148"/>
      <c r="QK62" s="1148"/>
      <c r="QL62" s="1148"/>
      <c r="QM62" s="1148"/>
      <c r="QN62" s="1148"/>
      <c r="QO62" s="1148"/>
      <c r="QP62" s="1148"/>
      <c r="QQ62" s="1148"/>
      <c r="QR62" s="1148"/>
      <c r="QS62" s="1148"/>
      <c r="QT62" s="1148"/>
      <c r="QU62" s="1148"/>
      <c r="QV62" s="1148"/>
      <c r="QW62" s="1148"/>
      <c r="QX62" s="1148"/>
      <c r="QY62" s="1148"/>
      <c r="QZ62" s="1148"/>
      <c r="RA62" s="1148"/>
      <c r="RB62" s="1148"/>
      <c r="RC62" s="1148"/>
      <c r="RD62" s="1148"/>
      <c r="RE62" s="1148"/>
      <c r="RF62" s="1148"/>
      <c r="RG62" s="1148"/>
      <c r="RH62" s="1148"/>
      <c r="RI62" s="1148"/>
      <c r="RJ62" s="1148"/>
      <c r="RK62" s="1148"/>
      <c r="RL62" s="1148"/>
      <c r="RM62" s="1148"/>
      <c r="RN62" s="1148"/>
      <c r="RO62" s="1148"/>
      <c r="RP62" s="1148"/>
      <c r="RQ62" s="1148"/>
      <c r="RR62" s="1148"/>
      <c r="RS62" s="1148"/>
      <c r="RT62" s="1148"/>
      <c r="RU62" s="1148"/>
      <c r="RV62" s="1148"/>
      <c r="RW62" s="1148"/>
      <c r="RX62" s="1148"/>
      <c r="RY62" s="1148"/>
      <c r="RZ62" s="1148"/>
      <c r="SA62" s="1148"/>
      <c r="SB62" s="1148"/>
      <c r="SC62" s="1148"/>
      <c r="SD62" s="1148"/>
      <c r="SE62" s="1148"/>
      <c r="SF62" s="1148"/>
      <c r="SG62" s="1148"/>
      <c r="SH62" s="1148"/>
      <c r="SI62" s="1148"/>
      <c r="SJ62" s="1148"/>
      <c r="SK62" s="1148"/>
      <c r="SL62" s="1148"/>
      <c r="SM62" s="1148"/>
      <c r="SN62" s="1148"/>
      <c r="SO62" s="1148"/>
      <c r="SP62" s="1148"/>
      <c r="SQ62" s="1148"/>
      <c r="SR62" s="1148"/>
      <c r="SS62" s="1148"/>
      <c r="ST62" s="1148"/>
      <c r="SU62" s="1148"/>
      <c r="SV62" s="1148"/>
      <c r="SW62" s="1148"/>
      <c r="SX62" s="1148"/>
      <c r="SY62" s="1148"/>
      <c r="SZ62" s="1148"/>
      <c r="TA62" s="1148"/>
      <c r="TB62" s="1148"/>
      <c r="TC62" s="1148"/>
      <c r="TD62" s="1148"/>
      <c r="TE62" s="1148"/>
      <c r="TF62" s="1148"/>
      <c r="TG62" s="1148"/>
      <c r="TH62" s="1148"/>
      <c r="TI62" s="1148"/>
      <c r="TJ62" s="1148"/>
      <c r="TK62" s="1148"/>
      <c r="TL62" s="1148"/>
      <c r="TM62" s="1148"/>
      <c r="TN62" s="1148"/>
      <c r="TO62" s="1148"/>
      <c r="TP62" s="1148"/>
      <c r="TQ62" s="1148"/>
      <c r="TR62" s="1148"/>
      <c r="TS62" s="1148"/>
      <c r="TT62" s="1148"/>
      <c r="TU62" s="1148"/>
      <c r="TV62" s="1148"/>
      <c r="TW62" s="1148"/>
      <c r="TX62" s="1148"/>
      <c r="TY62" s="1148"/>
      <c r="TZ62" s="1148"/>
      <c r="UA62" s="1148"/>
      <c r="UB62" s="1148"/>
      <c r="UC62" s="1148"/>
      <c r="UD62" s="1148"/>
      <c r="UE62" s="1148"/>
      <c r="UF62" s="1148"/>
      <c r="UG62" s="1148"/>
      <c r="UH62" s="1148"/>
      <c r="UI62" s="1148"/>
      <c r="UJ62" s="1148"/>
      <c r="UK62" s="1148"/>
      <c r="UL62" s="1148"/>
      <c r="UM62" s="1148"/>
      <c r="UN62" s="1148"/>
      <c r="UO62" s="1148"/>
      <c r="UP62" s="1148"/>
      <c r="UQ62" s="1148"/>
      <c r="UR62" s="1148"/>
      <c r="US62" s="1148"/>
      <c r="UT62" s="1148"/>
      <c r="UU62" s="1148"/>
      <c r="UV62" s="1148"/>
      <c r="UW62" s="1148"/>
      <c r="UX62" s="1148"/>
      <c r="UY62" s="1148"/>
      <c r="UZ62" s="1148"/>
      <c r="VA62" s="1148"/>
      <c r="VB62" s="1148"/>
      <c r="VC62" s="1148"/>
      <c r="VD62" s="1148"/>
      <c r="VE62" s="1148"/>
      <c r="VF62" s="1148"/>
      <c r="VG62" s="1148"/>
      <c r="VH62" s="1148"/>
      <c r="VI62" s="1148"/>
      <c r="VJ62" s="1148"/>
      <c r="VK62" s="1148"/>
      <c r="VL62" s="1148"/>
      <c r="VM62" s="1148"/>
      <c r="VN62" s="1148"/>
      <c r="VO62" s="1148"/>
      <c r="VP62" s="1148"/>
      <c r="VQ62" s="1148"/>
      <c r="VR62" s="1148"/>
      <c r="VS62" s="1148"/>
      <c r="VT62" s="1148"/>
      <c r="VU62" s="1148"/>
      <c r="VV62" s="1148"/>
      <c r="VW62" s="1148"/>
      <c r="VX62" s="1148"/>
      <c r="VY62" s="1148"/>
      <c r="VZ62" s="1148"/>
      <c r="WA62" s="1148"/>
      <c r="WB62" s="1148"/>
      <c r="WC62" s="1148"/>
      <c r="WD62" s="1148"/>
      <c r="WE62" s="1148"/>
      <c r="WF62" s="1148"/>
      <c r="WG62" s="1148"/>
      <c r="WH62" s="1148"/>
      <c r="WI62" s="1148"/>
      <c r="WJ62" s="1148"/>
      <c r="WK62" s="1148"/>
      <c r="WL62" s="1148"/>
      <c r="WM62" s="1148"/>
      <c r="WN62" s="1148"/>
      <c r="WO62" s="1148"/>
      <c r="WP62" s="1148"/>
      <c r="WQ62" s="1148"/>
      <c r="WR62" s="1148"/>
      <c r="WS62" s="1148"/>
      <c r="WT62" s="1148"/>
      <c r="WU62" s="1148"/>
      <c r="WV62" s="1148"/>
      <c r="WW62" s="1148"/>
      <c r="WX62" s="1148"/>
      <c r="WY62" s="1148"/>
      <c r="WZ62" s="1148"/>
      <c r="XA62" s="1148"/>
      <c r="XB62" s="1148"/>
      <c r="XC62" s="1148"/>
      <c r="XD62" s="1148"/>
      <c r="XE62" s="1148"/>
      <c r="XF62" s="1148"/>
      <c r="XG62" s="1148"/>
      <c r="XH62" s="1148"/>
      <c r="XI62" s="1148"/>
      <c r="XJ62" s="1148"/>
      <c r="XK62" s="1148"/>
      <c r="XL62" s="1148"/>
      <c r="XM62" s="1148"/>
      <c r="XN62" s="1148"/>
      <c r="XO62" s="1148"/>
      <c r="XP62" s="1148"/>
      <c r="XQ62" s="1148"/>
      <c r="XR62" s="1148"/>
      <c r="XS62" s="1148"/>
      <c r="XT62" s="1148"/>
      <c r="XU62" s="1148"/>
      <c r="XV62" s="1148"/>
      <c r="XW62" s="1148"/>
      <c r="XX62" s="1148"/>
      <c r="XY62" s="1148"/>
      <c r="XZ62" s="1148"/>
      <c r="YA62" s="1148"/>
      <c r="YB62" s="1148"/>
      <c r="YC62" s="1148"/>
      <c r="YD62" s="1148"/>
      <c r="YE62" s="1148"/>
      <c r="YF62" s="1148"/>
      <c r="YG62" s="1148"/>
      <c r="YH62" s="1148"/>
      <c r="YI62" s="1148"/>
      <c r="YJ62" s="1148"/>
      <c r="YK62" s="1148"/>
      <c r="YL62" s="1148"/>
      <c r="YM62" s="1148"/>
      <c r="YN62" s="1148"/>
      <c r="YO62" s="1148"/>
      <c r="YP62" s="1148"/>
      <c r="YQ62" s="1148"/>
      <c r="YR62" s="1148"/>
      <c r="YS62" s="1148"/>
      <c r="YT62" s="1148"/>
      <c r="YU62" s="1148"/>
      <c r="YV62" s="1148"/>
      <c r="YW62" s="1148"/>
      <c r="YX62" s="1148"/>
      <c r="YY62" s="1148"/>
      <c r="YZ62" s="1148"/>
      <c r="ZA62" s="1148"/>
      <c r="ZB62" s="1148"/>
      <c r="ZC62" s="1148"/>
      <c r="ZD62" s="1148"/>
      <c r="ZE62" s="1148"/>
      <c r="ZF62" s="1148"/>
      <c r="ZG62" s="1148"/>
      <c r="ZH62" s="1148"/>
      <c r="ZI62" s="1148"/>
      <c r="ZJ62" s="1148"/>
      <c r="ZK62" s="1148"/>
      <c r="ZL62" s="1148"/>
      <c r="ZM62" s="1148"/>
      <c r="ZN62" s="1148"/>
      <c r="ZO62" s="1148"/>
      <c r="ZP62" s="1148"/>
      <c r="ZQ62" s="1148"/>
      <c r="ZR62" s="1148"/>
      <c r="ZS62" s="1148"/>
      <c r="ZT62" s="1148"/>
      <c r="ZU62" s="1148"/>
      <c r="ZV62" s="1148"/>
      <c r="ZW62" s="1148"/>
      <c r="ZX62" s="1148"/>
      <c r="ZY62" s="1148"/>
      <c r="ZZ62" s="1148"/>
      <c r="AAA62" s="1148"/>
    </row>
    <row r="63" spans="1:703" s="1148" customFormat="1" ht="30.75" customHeight="1" x14ac:dyDescent="0.2">
      <c r="A63" s="3551"/>
      <c r="B63" s="3552"/>
      <c r="C63" s="3553"/>
      <c r="D63" s="3557"/>
      <c r="E63" s="3558"/>
      <c r="F63" s="3559"/>
      <c r="G63" s="1150"/>
      <c r="H63" s="1151"/>
      <c r="I63" s="1152"/>
      <c r="J63" s="3671"/>
      <c r="K63" s="3568"/>
      <c r="L63" s="3695"/>
      <c r="M63" s="3671"/>
      <c r="N63" s="3698"/>
      <c r="O63" s="3673"/>
      <c r="P63" s="3605"/>
      <c r="Q63" s="3568"/>
      <c r="R63" s="3718"/>
      <c r="S63" s="3583"/>
      <c r="T63" s="3568"/>
      <c r="U63" s="2330" t="s">
        <v>874</v>
      </c>
      <c r="V63" s="1145" t="s">
        <v>875</v>
      </c>
      <c r="W63" s="3583"/>
      <c r="X63" s="3602"/>
      <c r="Y63" s="3602"/>
      <c r="Z63" s="3608"/>
      <c r="AA63" s="3673"/>
      <c r="AB63" s="3486"/>
      <c r="AC63" s="3483"/>
      <c r="AD63" s="3486"/>
      <c r="AE63" s="3483"/>
      <c r="AF63" s="3486"/>
      <c r="AG63" s="3483"/>
      <c r="AH63" s="3486"/>
      <c r="AI63" s="3483"/>
      <c r="AJ63" s="3486"/>
      <c r="AK63" s="3483"/>
      <c r="AL63" s="3486"/>
      <c r="AM63" s="3483"/>
      <c r="AN63" s="3486"/>
      <c r="AO63" s="3483"/>
      <c r="AP63" s="3486"/>
      <c r="AQ63" s="3483"/>
      <c r="AR63" s="3486"/>
      <c r="AS63" s="3483"/>
      <c r="AT63" s="3486"/>
      <c r="AU63" s="3483"/>
      <c r="AV63" s="3486"/>
      <c r="AW63" s="3483"/>
      <c r="AX63" s="3486"/>
      <c r="AY63" s="3726"/>
      <c r="AZ63" s="1153" t="s">
        <v>872</v>
      </c>
      <c r="BA63" s="2371">
        <v>2500000</v>
      </c>
      <c r="BB63" s="1154">
        <v>2500000</v>
      </c>
      <c r="BC63" s="3644"/>
      <c r="BD63" s="1154" t="s">
        <v>165</v>
      </c>
      <c r="BE63" s="1154" t="s">
        <v>873</v>
      </c>
      <c r="BF63" s="2059">
        <v>42508</v>
      </c>
      <c r="BG63" s="2060">
        <v>42508</v>
      </c>
      <c r="BH63" s="2059">
        <v>42597</v>
      </c>
      <c r="BI63" s="2060">
        <v>42538</v>
      </c>
      <c r="BJ63" s="3722"/>
    </row>
    <row r="64" spans="1:703" s="1148" customFormat="1" ht="39.75" customHeight="1" x14ac:dyDescent="0.2">
      <c r="A64" s="3551"/>
      <c r="B64" s="3552"/>
      <c r="C64" s="3553"/>
      <c r="D64" s="3557"/>
      <c r="E64" s="3558"/>
      <c r="F64" s="3559"/>
      <c r="G64" s="1150"/>
      <c r="H64" s="1151"/>
      <c r="I64" s="1152"/>
      <c r="J64" s="3671"/>
      <c r="K64" s="3568"/>
      <c r="L64" s="3695"/>
      <c r="M64" s="3671"/>
      <c r="N64" s="3698"/>
      <c r="O64" s="3673"/>
      <c r="P64" s="3605"/>
      <c r="Q64" s="3568"/>
      <c r="R64" s="3718"/>
      <c r="S64" s="3583"/>
      <c r="T64" s="3568"/>
      <c r="U64" s="2330" t="s">
        <v>876</v>
      </c>
      <c r="V64" s="1145" t="s">
        <v>877</v>
      </c>
      <c r="W64" s="3583"/>
      <c r="X64" s="3602"/>
      <c r="Y64" s="3602"/>
      <c r="Z64" s="3608"/>
      <c r="AA64" s="3673"/>
      <c r="AB64" s="3486"/>
      <c r="AC64" s="3483"/>
      <c r="AD64" s="3486"/>
      <c r="AE64" s="3483"/>
      <c r="AF64" s="3486"/>
      <c r="AG64" s="3483"/>
      <c r="AH64" s="3486"/>
      <c r="AI64" s="3483"/>
      <c r="AJ64" s="3486"/>
      <c r="AK64" s="3483"/>
      <c r="AL64" s="3486"/>
      <c r="AM64" s="3483"/>
      <c r="AN64" s="3486"/>
      <c r="AO64" s="3483"/>
      <c r="AP64" s="3486"/>
      <c r="AQ64" s="3483"/>
      <c r="AR64" s="3486"/>
      <c r="AS64" s="3483"/>
      <c r="AT64" s="3486"/>
      <c r="AU64" s="3483"/>
      <c r="AV64" s="3486"/>
      <c r="AW64" s="3483"/>
      <c r="AX64" s="3486"/>
      <c r="AY64" s="3726"/>
      <c r="AZ64" s="1153"/>
      <c r="BA64" s="2371">
        <v>10000000</v>
      </c>
      <c r="BB64" s="1154">
        <v>10000000</v>
      </c>
      <c r="BC64" s="3644"/>
      <c r="BD64" s="1154" t="s">
        <v>165</v>
      </c>
      <c r="BE64" s="1154" t="s">
        <v>863</v>
      </c>
      <c r="BF64" s="2059">
        <v>42522</v>
      </c>
      <c r="BG64" s="2060">
        <v>42522</v>
      </c>
      <c r="BH64" s="2059">
        <v>42536</v>
      </c>
      <c r="BI64" s="2060">
        <v>42536</v>
      </c>
      <c r="BJ64" s="3722"/>
    </row>
    <row r="65" spans="1:174" s="1148" customFormat="1" ht="45" customHeight="1" x14ac:dyDescent="0.2">
      <c r="A65" s="3551"/>
      <c r="B65" s="3552"/>
      <c r="C65" s="3553"/>
      <c r="D65" s="3557"/>
      <c r="E65" s="3558"/>
      <c r="F65" s="3559"/>
      <c r="G65" s="1150"/>
      <c r="H65" s="1151"/>
      <c r="I65" s="1152"/>
      <c r="J65" s="3671"/>
      <c r="K65" s="3568"/>
      <c r="L65" s="3695"/>
      <c r="M65" s="3671"/>
      <c r="N65" s="3698"/>
      <c r="O65" s="3673"/>
      <c r="P65" s="3605"/>
      <c r="Q65" s="3568"/>
      <c r="R65" s="3718"/>
      <c r="S65" s="3583"/>
      <c r="T65" s="3568"/>
      <c r="U65" s="1155" t="s">
        <v>878</v>
      </c>
      <c r="V65" s="1145" t="s">
        <v>879</v>
      </c>
      <c r="W65" s="3583"/>
      <c r="X65" s="3602"/>
      <c r="Y65" s="3602"/>
      <c r="Z65" s="3608"/>
      <c r="AA65" s="3673"/>
      <c r="AB65" s="3486"/>
      <c r="AC65" s="3483"/>
      <c r="AD65" s="3486"/>
      <c r="AE65" s="3483"/>
      <c r="AF65" s="3486"/>
      <c r="AG65" s="3483"/>
      <c r="AH65" s="3486"/>
      <c r="AI65" s="3483"/>
      <c r="AJ65" s="3486"/>
      <c r="AK65" s="3483"/>
      <c r="AL65" s="3486"/>
      <c r="AM65" s="3483"/>
      <c r="AN65" s="3486"/>
      <c r="AO65" s="3483"/>
      <c r="AP65" s="3486"/>
      <c r="AQ65" s="3483"/>
      <c r="AR65" s="3486"/>
      <c r="AS65" s="3483"/>
      <c r="AT65" s="3486"/>
      <c r="AU65" s="3483"/>
      <c r="AV65" s="3486"/>
      <c r="AW65" s="3483"/>
      <c r="AX65" s="3486"/>
      <c r="AY65" s="3726"/>
      <c r="AZ65" s="1156"/>
      <c r="BA65" s="1157"/>
      <c r="BB65" s="1158"/>
      <c r="BC65" s="1158"/>
      <c r="BD65" s="1158"/>
      <c r="BE65" s="1158"/>
      <c r="BF65" s="2061"/>
      <c r="BG65" s="2062"/>
      <c r="BH65" s="2061"/>
      <c r="BI65" s="2062"/>
      <c r="BJ65" s="3722"/>
    </row>
    <row r="66" spans="1:174" s="1148" customFormat="1" ht="48.75" customHeight="1" x14ac:dyDescent="0.2">
      <c r="A66" s="3551"/>
      <c r="B66" s="3552"/>
      <c r="C66" s="3553"/>
      <c r="D66" s="3557"/>
      <c r="E66" s="3558"/>
      <c r="F66" s="3559"/>
      <c r="G66" s="1150"/>
      <c r="H66" s="1151"/>
      <c r="I66" s="1152"/>
      <c r="J66" s="3671"/>
      <c r="K66" s="3568"/>
      <c r="L66" s="3695"/>
      <c r="M66" s="3671"/>
      <c r="N66" s="3698"/>
      <c r="O66" s="3673"/>
      <c r="P66" s="3605"/>
      <c r="Q66" s="3568"/>
      <c r="R66" s="3718"/>
      <c r="S66" s="3583"/>
      <c r="T66" s="3568"/>
      <c r="U66" s="2330" t="s">
        <v>880</v>
      </c>
      <c r="V66" s="1145" t="s">
        <v>881</v>
      </c>
      <c r="W66" s="3583"/>
      <c r="X66" s="3602"/>
      <c r="Y66" s="3602"/>
      <c r="Z66" s="3608"/>
      <c r="AA66" s="3673"/>
      <c r="AB66" s="3486"/>
      <c r="AC66" s="3483"/>
      <c r="AD66" s="3486"/>
      <c r="AE66" s="3483"/>
      <c r="AF66" s="3486"/>
      <c r="AG66" s="3483"/>
      <c r="AH66" s="3486"/>
      <c r="AI66" s="3483"/>
      <c r="AJ66" s="3486"/>
      <c r="AK66" s="3483"/>
      <c r="AL66" s="3486"/>
      <c r="AM66" s="3483"/>
      <c r="AN66" s="3486"/>
      <c r="AO66" s="3483"/>
      <c r="AP66" s="3486"/>
      <c r="AQ66" s="3483"/>
      <c r="AR66" s="3486"/>
      <c r="AS66" s="3483"/>
      <c r="AT66" s="3486"/>
      <c r="AU66" s="3483"/>
      <c r="AV66" s="3486"/>
      <c r="AW66" s="3483"/>
      <c r="AX66" s="3486"/>
      <c r="AY66" s="3726"/>
      <c r="AZ66" s="1156"/>
      <c r="BA66" s="1157"/>
      <c r="BB66" s="1158"/>
      <c r="BC66" s="1158"/>
      <c r="BD66" s="1158"/>
      <c r="BE66" s="1158"/>
      <c r="BF66" s="2061"/>
      <c r="BG66" s="2062"/>
      <c r="BH66" s="2061"/>
      <c r="BI66" s="2062"/>
      <c r="BJ66" s="3722"/>
    </row>
    <row r="67" spans="1:174" s="1148" customFormat="1" ht="60" customHeight="1" x14ac:dyDescent="0.2">
      <c r="A67" s="3551"/>
      <c r="B67" s="3552"/>
      <c r="C67" s="3553"/>
      <c r="D67" s="3557"/>
      <c r="E67" s="3558"/>
      <c r="F67" s="3559"/>
      <c r="G67" s="1150"/>
      <c r="H67" s="1151"/>
      <c r="I67" s="1152"/>
      <c r="J67" s="3624"/>
      <c r="K67" s="3626"/>
      <c r="L67" s="3696"/>
      <c r="M67" s="3624"/>
      <c r="N67" s="3699"/>
      <c r="O67" s="3674"/>
      <c r="P67" s="3606"/>
      <c r="Q67" s="3626"/>
      <c r="R67" s="3719"/>
      <c r="S67" s="3650"/>
      <c r="T67" s="3626"/>
      <c r="U67" s="2330" t="s">
        <v>882</v>
      </c>
      <c r="V67" s="1145" t="s">
        <v>883</v>
      </c>
      <c r="W67" s="3650"/>
      <c r="X67" s="3603"/>
      <c r="Y67" s="3603"/>
      <c r="Z67" s="3609"/>
      <c r="AA67" s="3674"/>
      <c r="AB67" s="3487"/>
      <c r="AC67" s="3484"/>
      <c r="AD67" s="3487"/>
      <c r="AE67" s="3484"/>
      <c r="AF67" s="3487"/>
      <c r="AG67" s="3484"/>
      <c r="AH67" s="3487"/>
      <c r="AI67" s="3484"/>
      <c r="AJ67" s="3487"/>
      <c r="AK67" s="3484"/>
      <c r="AL67" s="3487"/>
      <c r="AM67" s="3484"/>
      <c r="AN67" s="3487"/>
      <c r="AO67" s="3484"/>
      <c r="AP67" s="3487"/>
      <c r="AQ67" s="3484"/>
      <c r="AR67" s="3487"/>
      <c r="AS67" s="3484"/>
      <c r="AT67" s="3487"/>
      <c r="AU67" s="3484"/>
      <c r="AV67" s="3487"/>
      <c r="AW67" s="3484"/>
      <c r="AX67" s="3487"/>
      <c r="AY67" s="3727"/>
      <c r="AZ67" s="1159"/>
      <c r="BA67" s="1160"/>
      <c r="BB67" s="1161"/>
      <c r="BC67" s="1161"/>
      <c r="BD67" s="1161"/>
      <c r="BE67" s="1161"/>
      <c r="BF67" s="2063"/>
      <c r="BG67" s="2064"/>
      <c r="BH67" s="2063"/>
      <c r="BI67" s="2064"/>
      <c r="BJ67" s="3722"/>
    </row>
    <row r="68" spans="1:174" s="1148" customFormat="1" ht="75.75" customHeight="1" x14ac:dyDescent="0.2">
      <c r="A68" s="3551"/>
      <c r="B68" s="3552"/>
      <c r="C68" s="3553"/>
      <c r="D68" s="3557"/>
      <c r="E68" s="3558"/>
      <c r="F68" s="3559"/>
      <c r="G68" s="1150"/>
      <c r="H68" s="1151"/>
      <c r="I68" s="1152"/>
      <c r="J68" s="3670">
        <v>47</v>
      </c>
      <c r="K68" s="3567" t="s">
        <v>865</v>
      </c>
      <c r="L68" s="3694" t="s">
        <v>866</v>
      </c>
      <c r="M68" s="3670">
        <v>12</v>
      </c>
      <c r="N68" s="3697">
        <v>12</v>
      </c>
      <c r="O68" s="3672" t="s">
        <v>884</v>
      </c>
      <c r="P68" s="3604">
        <v>55</v>
      </c>
      <c r="Q68" s="3567" t="s">
        <v>885</v>
      </c>
      <c r="R68" s="3717">
        <v>1</v>
      </c>
      <c r="S68" s="3582">
        <v>5000000</v>
      </c>
      <c r="T68" s="3567" t="s">
        <v>886</v>
      </c>
      <c r="U68" s="2330" t="s">
        <v>887</v>
      </c>
      <c r="V68" s="1145" t="s">
        <v>888</v>
      </c>
      <c r="W68" s="3582">
        <v>5000000</v>
      </c>
      <c r="X68" s="3601">
        <v>2500000</v>
      </c>
      <c r="Y68" s="3601">
        <v>2500000</v>
      </c>
      <c r="Z68" s="3607">
        <v>20</v>
      </c>
      <c r="AA68" s="3672" t="s">
        <v>130</v>
      </c>
      <c r="AB68" s="3485">
        <f t="shared" ref="AB68:AP68" si="1">AB72</f>
        <v>64149</v>
      </c>
      <c r="AC68" s="3482">
        <f>+AB68/$W$68*$Y$68</f>
        <v>32074.5</v>
      </c>
      <c r="AD68" s="3485" t="str">
        <f t="shared" si="1"/>
        <v>72.224</v>
      </c>
      <c r="AE68" s="3482">
        <f>+AD68/$W$68*$Y$68</f>
        <v>36112</v>
      </c>
      <c r="AF68" s="3485" t="str">
        <f t="shared" si="1"/>
        <v>27.477</v>
      </c>
      <c r="AG68" s="3482">
        <f>+AF68/$W$68*$Y$68</f>
        <v>13738.5</v>
      </c>
      <c r="AH68" s="3485" t="str">
        <f t="shared" si="1"/>
        <v>86.843</v>
      </c>
      <c r="AI68" s="3482">
        <f>+AH68/$W$68*$Y$68</f>
        <v>43421.5</v>
      </c>
      <c r="AJ68" s="3485" t="str">
        <f t="shared" si="1"/>
        <v>236.429</v>
      </c>
      <c r="AK68" s="3482">
        <f>+AJ68/$W$68*$Y$68</f>
        <v>118214.5</v>
      </c>
      <c r="AL68" s="3485" t="str">
        <f t="shared" si="1"/>
        <v>81.384</v>
      </c>
      <c r="AM68" s="3482">
        <f>+AL68/$W$68*$Y$68</f>
        <v>40692</v>
      </c>
      <c r="AN68" s="3485">
        <f t="shared" si="1"/>
        <v>13208</v>
      </c>
      <c r="AO68" s="3482">
        <f>+AN68/$W$68*$Y$68</f>
        <v>6604</v>
      </c>
      <c r="AP68" s="3485">
        <f t="shared" si="1"/>
        <v>1827</v>
      </c>
      <c r="AQ68" s="3482">
        <f>+AP68/$W$68*$Y$68</f>
        <v>913.5</v>
      </c>
      <c r="AR68" s="3485"/>
      <c r="AS68" s="3482"/>
      <c r="AT68" s="3485"/>
      <c r="AU68" s="3482"/>
      <c r="AV68" s="3485"/>
      <c r="AW68" s="3482"/>
      <c r="AX68" s="3485"/>
      <c r="AY68" s="3482"/>
      <c r="AZ68" s="3734" t="s">
        <v>889</v>
      </c>
      <c r="BA68" s="3734">
        <v>2500000</v>
      </c>
      <c r="BB68" s="3734">
        <v>2500000</v>
      </c>
      <c r="BC68" s="3732">
        <f>+BB68/BA68</f>
        <v>1</v>
      </c>
      <c r="BD68" s="3734" t="s">
        <v>165</v>
      </c>
      <c r="BE68" s="3734" t="s">
        <v>873</v>
      </c>
      <c r="BF68" s="3730">
        <v>42508</v>
      </c>
      <c r="BG68" s="3728">
        <v>42508</v>
      </c>
      <c r="BH68" s="3730">
        <v>42597</v>
      </c>
      <c r="BI68" s="3728">
        <v>42538</v>
      </c>
      <c r="BJ68" s="3723"/>
    </row>
    <row r="69" spans="1:174" s="1163" customFormat="1" ht="33.75" customHeight="1" x14ac:dyDescent="0.2">
      <c r="A69" s="3551"/>
      <c r="B69" s="3552"/>
      <c r="C69" s="3553"/>
      <c r="D69" s="3557"/>
      <c r="E69" s="3558"/>
      <c r="F69" s="3559"/>
      <c r="G69" s="1150"/>
      <c r="H69" s="1151"/>
      <c r="I69" s="1152"/>
      <c r="J69" s="3671"/>
      <c r="K69" s="3568"/>
      <c r="L69" s="3695"/>
      <c r="M69" s="3671"/>
      <c r="N69" s="3698"/>
      <c r="O69" s="3673"/>
      <c r="P69" s="3605"/>
      <c r="Q69" s="3568"/>
      <c r="R69" s="3718"/>
      <c r="S69" s="3583"/>
      <c r="T69" s="3568"/>
      <c r="U69" s="2330" t="s">
        <v>890</v>
      </c>
      <c r="V69" s="1145" t="s">
        <v>891</v>
      </c>
      <c r="W69" s="3583"/>
      <c r="X69" s="3602"/>
      <c r="Y69" s="3602"/>
      <c r="Z69" s="3608"/>
      <c r="AA69" s="3673"/>
      <c r="AB69" s="3486"/>
      <c r="AC69" s="3483"/>
      <c r="AD69" s="3486"/>
      <c r="AE69" s="3483"/>
      <c r="AF69" s="3486"/>
      <c r="AG69" s="3483"/>
      <c r="AH69" s="3486"/>
      <c r="AI69" s="3483"/>
      <c r="AJ69" s="3486"/>
      <c r="AK69" s="3483"/>
      <c r="AL69" s="3486"/>
      <c r="AM69" s="3483"/>
      <c r="AN69" s="3486"/>
      <c r="AO69" s="3483"/>
      <c r="AP69" s="3486"/>
      <c r="AQ69" s="3483"/>
      <c r="AR69" s="3486"/>
      <c r="AS69" s="3483"/>
      <c r="AT69" s="3486"/>
      <c r="AU69" s="3483"/>
      <c r="AV69" s="3486"/>
      <c r="AW69" s="3483"/>
      <c r="AX69" s="3486"/>
      <c r="AY69" s="3726"/>
      <c r="AZ69" s="3734"/>
      <c r="BA69" s="3734"/>
      <c r="BB69" s="3734"/>
      <c r="BC69" s="3732"/>
      <c r="BD69" s="3734"/>
      <c r="BE69" s="3734"/>
      <c r="BF69" s="3730"/>
      <c r="BG69" s="3728"/>
      <c r="BH69" s="3730"/>
      <c r="BI69" s="3728"/>
      <c r="BJ69" s="3723"/>
      <c r="BK69" s="1148"/>
      <c r="BL69" s="1148"/>
      <c r="BM69" s="1148"/>
      <c r="BN69" s="1148"/>
      <c r="BO69" s="1148"/>
      <c r="BP69" s="1148"/>
      <c r="BQ69" s="1148"/>
      <c r="BR69" s="1148"/>
      <c r="BS69" s="1148"/>
      <c r="BT69" s="1148"/>
      <c r="BU69" s="1148"/>
      <c r="BV69" s="1148"/>
      <c r="BW69" s="1148"/>
      <c r="BX69" s="1148"/>
      <c r="BY69" s="1148"/>
      <c r="BZ69" s="1148"/>
      <c r="CA69" s="1148"/>
      <c r="CB69" s="1148"/>
      <c r="CC69" s="1148"/>
      <c r="CD69" s="1148"/>
      <c r="CE69" s="1148"/>
      <c r="CF69" s="1148"/>
      <c r="CG69" s="1148"/>
      <c r="CH69" s="1148"/>
      <c r="CI69" s="1148"/>
      <c r="CJ69" s="1148"/>
      <c r="CK69" s="1148"/>
      <c r="CL69" s="1148"/>
      <c r="CM69" s="1148"/>
      <c r="CN69" s="1148"/>
      <c r="CO69" s="1148"/>
      <c r="CP69" s="1148"/>
      <c r="CQ69" s="1148"/>
      <c r="CR69" s="1148"/>
      <c r="CS69" s="1148"/>
      <c r="CT69" s="1148"/>
      <c r="CU69" s="1148"/>
      <c r="CV69" s="1148"/>
      <c r="CW69" s="1148"/>
      <c r="CX69" s="1148"/>
      <c r="CY69" s="1148"/>
      <c r="CZ69" s="1148"/>
      <c r="DA69" s="1148"/>
      <c r="DB69" s="1148"/>
      <c r="DC69" s="1148"/>
      <c r="DD69" s="1148"/>
      <c r="DE69" s="1148"/>
      <c r="DF69" s="1148"/>
      <c r="DG69" s="1148"/>
      <c r="DH69" s="1148"/>
      <c r="DI69" s="1148"/>
      <c r="DJ69" s="1148"/>
      <c r="DK69" s="1148"/>
      <c r="DL69" s="1148"/>
      <c r="DM69" s="1148"/>
      <c r="DN69" s="1148"/>
      <c r="DO69" s="1148"/>
      <c r="DP69" s="1148"/>
      <c r="DQ69" s="1148"/>
      <c r="DR69" s="1148"/>
      <c r="DS69" s="1148"/>
      <c r="DT69" s="1148"/>
      <c r="DU69" s="1148"/>
      <c r="DV69" s="1148"/>
      <c r="DW69" s="1148"/>
      <c r="DX69" s="1148"/>
      <c r="DY69" s="1148"/>
      <c r="DZ69" s="1148"/>
      <c r="EA69" s="1148"/>
      <c r="EB69" s="1148"/>
      <c r="EC69" s="1148"/>
      <c r="ED69" s="1148"/>
      <c r="EE69" s="1148"/>
      <c r="EF69" s="1148"/>
      <c r="EG69" s="1148"/>
      <c r="EH69" s="1148"/>
      <c r="EI69" s="1148"/>
      <c r="EJ69" s="1148"/>
      <c r="EK69" s="1148"/>
      <c r="EL69" s="1148"/>
      <c r="EM69" s="1148"/>
      <c r="EN69" s="1148"/>
      <c r="EO69" s="1148"/>
      <c r="EP69" s="1148"/>
      <c r="EQ69" s="1148"/>
      <c r="ER69" s="1148"/>
      <c r="ES69" s="1148"/>
      <c r="ET69" s="1148"/>
      <c r="EU69" s="1148"/>
      <c r="EV69" s="1148"/>
      <c r="EW69" s="1148"/>
      <c r="EX69" s="1148"/>
      <c r="EY69" s="1148"/>
      <c r="EZ69" s="1148"/>
      <c r="FA69" s="1148"/>
      <c r="FB69" s="1148"/>
      <c r="FC69" s="1148"/>
      <c r="FD69" s="1148"/>
      <c r="FE69" s="1148"/>
      <c r="FF69" s="1148"/>
      <c r="FG69" s="1148"/>
      <c r="FH69" s="1148"/>
      <c r="FI69" s="1148"/>
      <c r="FJ69" s="1148"/>
      <c r="FK69" s="1148"/>
      <c r="FL69" s="1148"/>
      <c r="FM69" s="1148"/>
      <c r="FN69" s="1148"/>
      <c r="FO69" s="1148"/>
      <c r="FP69" s="1148"/>
      <c r="FQ69" s="1148"/>
      <c r="FR69" s="1162"/>
    </row>
    <row r="70" spans="1:174" s="1163" customFormat="1" ht="37.5" customHeight="1" x14ac:dyDescent="0.2">
      <c r="A70" s="3551"/>
      <c r="B70" s="3552"/>
      <c r="C70" s="3553"/>
      <c r="D70" s="3557"/>
      <c r="E70" s="3558"/>
      <c r="F70" s="3559"/>
      <c r="G70" s="1150"/>
      <c r="H70" s="1151"/>
      <c r="I70" s="1152"/>
      <c r="J70" s="3671"/>
      <c r="K70" s="3568"/>
      <c r="L70" s="3695"/>
      <c r="M70" s="3671"/>
      <c r="N70" s="3698"/>
      <c r="O70" s="3673"/>
      <c r="P70" s="3605"/>
      <c r="Q70" s="3568"/>
      <c r="R70" s="3718"/>
      <c r="S70" s="3583"/>
      <c r="T70" s="3568"/>
      <c r="U70" s="2330" t="s">
        <v>892</v>
      </c>
      <c r="V70" s="1145" t="s">
        <v>893</v>
      </c>
      <c r="W70" s="3583"/>
      <c r="X70" s="3602"/>
      <c r="Y70" s="3602"/>
      <c r="Z70" s="3608"/>
      <c r="AA70" s="3673"/>
      <c r="AB70" s="3486"/>
      <c r="AC70" s="3483"/>
      <c r="AD70" s="3486"/>
      <c r="AE70" s="3483"/>
      <c r="AF70" s="3486"/>
      <c r="AG70" s="3483"/>
      <c r="AH70" s="3486"/>
      <c r="AI70" s="3483"/>
      <c r="AJ70" s="3486"/>
      <c r="AK70" s="3483"/>
      <c r="AL70" s="3486"/>
      <c r="AM70" s="3483"/>
      <c r="AN70" s="3486"/>
      <c r="AO70" s="3483"/>
      <c r="AP70" s="3486"/>
      <c r="AQ70" s="3483"/>
      <c r="AR70" s="3486"/>
      <c r="AS70" s="3483"/>
      <c r="AT70" s="3486"/>
      <c r="AU70" s="3483"/>
      <c r="AV70" s="3486"/>
      <c r="AW70" s="3483"/>
      <c r="AX70" s="3486"/>
      <c r="AY70" s="3726"/>
      <c r="AZ70" s="3734"/>
      <c r="BA70" s="3734"/>
      <c r="BB70" s="3734"/>
      <c r="BC70" s="3732"/>
      <c r="BD70" s="3734"/>
      <c r="BE70" s="3734"/>
      <c r="BF70" s="3730"/>
      <c r="BG70" s="3728"/>
      <c r="BH70" s="3730"/>
      <c r="BI70" s="3728"/>
      <c r="BJ70" s="3723"/>
      <c r="BK70" s="1148"/>
      <c r="BL70" s="1148"/>
      <c r="BM70" s="1148"/>
      <c r="BN70" s="1148"/>
      <c r="BO70" s="1148"/>
      <c r="BP70" s="1148"/>
      <c r="BQ70" s="1148"/>
      <c r="BR70" s="1148"/>
      <c r="BS70" s="1148"/>
      <c r="BT70" s="1148"/>
      <c r="BU70" s="1148"/>
      <c r="BV70" s="1148"/>
      <c r="BW70" s="1148"/>
      <c r="BX70" s="1148"/>
      <c r="BY70" s="1148"/>
      <c r="BZ70" s="1148"/>
      <c r="CA70" s="1148"/>
      <c r="CB70" s="1148"/>
      <c r="CC70" s="1148"/>
      <c r="CD70" s="1148"/>
      <c r="CE70" s="1148"/>
      <c r="CF70" s="1148"/>
      <c r="CG70" s="1148"/>
      <c r="CH70" s="1148"/>
      <c r="CI70" s="1148"/>
      <c r="CJ70" s="1148"/>
      <c r="CK70" s="1148"/>
      <c r="CL70" s="1148"/>
      <c r="CM70" s="1148"/>
      <c r="CN70" s="1148"/>
      <c r="CO70" s="1148"/>
      <c r="CP70" s="1148"/>
      <c r="CQ70" s="1148"/>
      <c r="CR70" s="1148"/>
      <c r="CS70" s="1148"/>
      <c r="CT70" s="1148"/>
      <c r="CU70" s="1148"/>
      <c r="CV70" s="1148"/>
      <c r="CW70" s="1148"/>
      <c r="CX70" s="1148"/>
      <c r="CY70" s="1148"/>
      <c r="CZ70" s="1148"/>
      <c r="DA70" s="1148"/>
      <c r="DB70" s="1148"/>
      <c r="DC70" s="1148"/>
      <c r="DD70" s="1148"/>
      <c r="DE70" s="1148"/>
      <c r="DF70" s="1148"/>
      <c r="DG70" s="1148"/>
      <c r="DH70" s="1148"/>
      <c r="DI70" s="1148"/>
      <c r="DJ70" s="1148"/>
      <c r="DK70" s="1148"/>
      <c r="DL70" s="1148"/>
      <c r="DM70" s="1148"/>
      <c r="DN70" s="1148"/>
      <c r="DO70" s="1148"/>
      <c r="DP70" s="1148"/>
      <c r="DQ70" s="1148"/>
      <c r="DR70" s="1148"/>
      <c r="DS70" s="1148"/>
      <c r="DT70" s="1148"/>
      <c r="DU70" s="1148"/>
      <c r="DV70" s="1148"/>
      <c r="DW70" s="1148"/>
      <c r="DX70" s="1148"/>
      <c r="DY70" s="1148"/>
      <c r="DZ70" s="1148"/>
      <c r="EA70" s="1148"/>
      <c r="EB70" s="1148"/>
      <c r="EC70" s="1148"/>
      <c r="ED70" s="1148"/>
      <c r="EE70" s="1148"/>
      <c r="EF70" s="1148"/>
      <c r="EG70" s="1148"/>
      <c r="EH70" s="1148"/>
      <c r="EI70" s="1148"/>
      <c r="EJ70" s="1148"/>
      <c r="EK70" s="1148"/>
      <c r="EL70" s="1148"/>
      <c r="EM70" s="1148"/>
      <c r="EN70" s="1148"/>
      <c r="EO70" s="1148"/>
      <c r="EP70" s="1148"/>
      <c r="EQ70" s="1148"/>
      <c r="ER70" s="1148"/>
      <c r="ES70" s="1148"/>
      <c r="ET70" s="1148"/>
      <c r="EU70" s="1148"/>
      <c r="EV70" s="1148"/>
      <c r="EW70" s="1148"/>
      <c r="EX70" s="1148"/>
      <c r="EY70" s="1148"/>
      <c r="EZ70" s="1148"/>
      <c r="FA70" s="1148"/>
      <c r="FB70" s="1148"/>
      <c r="FC70" s="1148"/>
      <c r="FD70" s="1148"/>
      <c r="FE70" s="1148"/>
      <c r="FF70" s="1148"/>
      <c r="FG70" s="1148"/>
      <c r="FH70" s="1148"/>
      <c r="FI70" s="1148"/>
      <c r="FJ70" s="1148"/>
      <c r="FK70" s="1148"/>
      <c r="FL70" s="1148"/>
      <c r="FM70" s="1148"/>
      <c r="FN70" s="1148"/>
      <c r="FO70" s="1148"/>
      <c r="FP70" s="1148"/>
      <c r="FQ70" s="1148"/>
      <c r="FR70" s="1162"/>
    </row>
    <row r="71" spans="1:174" s="1149" customFormat="1" ht="47.25" customHeight="1" x14ac:dyDescent="0.2">
      <c r="A71" s="3551"/>
      <c r="B71" s="3552"/>
      <c r="C71" s="3553"/>
      <c r="D71" s="3557"/>
      <c r="E71" s="3558"/>
      <c r="F71" s="3559"/>
      <c r="G71" s="1150"/>
      <c r="H71" s="1151"/>
      <c r="I71" s="1152"/>
      <c r="J71" s="3624"/>
      <c r="K71" s="3626"/>
      <c r="L71" s="3696"/>
      <c r="M71" s="3624"/>
      <c r="N71" s="3699"/>
      <c r="O71" s="3674"/>
      <c r="P71" s="3606"/>
      <c r="Q71" s="3626"/>
      <c r="R71" s="3719"/>
      <c r="S71" s="3650"/>
      <c r="T71" s="3626"/>
      <c r="U71" s="2349" t="s">
        <v>894</v>
      </c>
      <c r="V71" s="1145" t="s">
        <v>895</v>
      </c>
      <c r="W71" s="3650"/>
      <c r="X71" s="3603"/>
      <c r="Y71" s="3603"/>
      <c r="Z71" s="3609"/>
      <c r="AA71" s="3674"/>
      <c r="AB71" s="3487"/>
      <c r="AC71" s="3484"/>
      <c r="AD71" s="3487"/>
      <c r="AE71" s="3484"/>
      <c r="AF71" s="3487"/>
      <c r="AG71" s="3484"/>
      <c r="AH71" s="3487"/>
      <c r="AI71" s="3484"/>
      <c r="AJ71" s="3487"/>
      <c r="AK71" s="3484"/>
      <c r="AL71" s="3487"/>
      <c r="AM71" s="3484"/>
      <c r="AN71" s="3487"/>
      <c r="AO71" s="3484"/>
      <c r="AP71" s="3487"/>
      <c r="AQ71" s="3484"/>
      <c r="AR71" s="3487"/>
      <c r="AS71" s="3484"/>
      <c r="AT71" s="3487"/>
      <c r="AU71" s="3484"/>
      <c r="AV71" s="3487"/>
      <c r="AW71" s="3484"/>
      <c r="AX71" s="3487"/>
      <c r="AY71" s="3727"/>
      <c r="AZ71" s="3735"/>
      <c r="BA71" s="3735"/>
      <c r="BB71" s="3735"/>
      <c r="BC71" s="3733"/>
      <c r="BD71" s="3735"/>
      <c r="BE71" s="3735"/>
      <c r="BF71" s="3731"/>
      <c r="BG71" s="3729"/>
      <c r="BH71" s="3731"/>
      <c r="BI71" s="3729"/>
      <c r="BJ71" s="3723"/>
      <c r="BK71" s="1148"/>
      <c r="BL71" s="1148"/>
      <c r="BM71" s="1148"/>
      <c r="BN71" s="1148"/>
      <c r="BO71" s="1148"/>
      <c r="BP71" s="1148"/>
      <c r="BQ71" s="1148"/>
      <c r="BR71" s="1148"/>
      <c r="BS71" s="1148"/>
      <c r="BT71" s="1148"/>
      <c r="BU71" s="1148"/>
      <c r="BV71" s="1148"/>
      <c r="BW71" s="1148"/>
      <c r="BX71" s="1148"/>
      <c r="BY71" s="1148"/>
      <c r="BZ71" s="1148"/>
      <c r="CA71" s="1148"/>
      <c r="CB71" s="1148"/>
      <c r="CC71" s="1148"/>
      <c r="CD71" s="1148"/>
      <c r="CE71" s="1148"/>
      <c r="CF71" s="1148"/>
      <c r="CG71" s="1148"/>
      <c r="CH71" s="1148"/>
      <c r="CI71" s="1148"/>
      <c r="CJ71" s="1148"/>
      <c r="CK71" s="1148"/>
      <c r="CL71" s="1148"/>
      <c r="CM71" s="1148"/>
      <c r="CN71" s="1148"/>
      <c r="CO71" s="1148"/>
      <c r="CP71" s="1148"/>
      <c r="CQ71" s="1148"/>
      <c r="CR71" s="1148"/>
      <c r="CS71" s="1148"/>
      <c r="CT71" s="1148"/>
      <c r="CU71" s="1148"/>
      <c r="CV71" s="1148"/>
      <c r="CW71" s="1148"/>
      <c r="CX71" s="1148"/>
      <c r="CY71" s="1148"/>
      <c r="CZ71" s="1148"/>
      <c r="DA71" s="1148"/>
      <c r="DB71" s="1148"/>
      <c r="DC71" s="1148"/>
      <c r="DD71" s="1148"/>
      <c r="DE71" s="1148"/>
      <c r="DF71" s="1148"/>
      <c r="DG71" s="1148"/>
      <c r="DH71" s="1148"/>
      <c r="DI71" s="1148"/>
      <c r="DJ71" s="1148"/>
      <c r="DK71" s="1148"/>
      <c r="DL71" s="1148"/>
      <c r="DM71" s="1148"/>
      <c r="DN71" s="1148"/>
      <c r="DO71" s="1148"/>
      <c r="DP71" s="1148"/>
      <c r="DQ71" s="1148"/>
      <c r="DR71" s="1148"/>
      <c r="DS71" s="1148"/>
      <c r="DT71" s="1148"/>
      <c r="DU71" s="1148"/>
      <c r="DV71" s="1148"/>
      <c r="DW71" s="1148"/>
      <c r="DX71" s="1148"/>
      <c r="DY71" s="1148"/>
      <c r="DZ71" s="1148"/>
      <c r="EA71" s="1148"/>
      <c r="EB71" s="1148"/>
      <c r="EC71" s="1148"/>
      <c r="ED71" s="1148"/>
      <c r="EE71" s="1148"/>
      <c r="EF71" s="1148"/>
      <c r="EG71" s="1148"/>
      <c r="EH71" s="1148"/>
      <c r="EI71" s="1148"/>
      <c r="EJ71" s="1148"/>
      <c r="EK71" s="1148"/>
      <c r="EL71" s="1148"/>
      <c r="EM71" s="1148"/>
      <c r="EN71" s="1148"/>
      <c r="EO71" s="1148"/>
      <c r="EP71" s="1148"/>
      <c r="EQ71" s="1148"/>
      <c r="ER71" s="1148"/>
      <c r="ES71" s="1148"/>
      <c r="ET71" s="1148"/>
      <c r="EU71" s="1148"/>
      <c r="EV71" s="1148"/>
      <c r="EW71" s="1148"/>
      <c r="EX71" s="1148"/>
      <c r="EY71" s="1148"/>
      <c r="EZ71" s="1148"/>
      <c r="FA71" s="1148"/>
      <c r="FB71" s="1148"/>
      <c r="FC71" s="1148"/>
      <c r="FD71" s="1148"/>
      <c r="FE71" s="1148"/>
      <c r="FF71" s="1148"/>
      <c r="FG71" s="1148"/>
      <c r="FH71" s="1148"/>
      <c r="FI71" s="1148"/>
      <c r="FJ71" s="1148"/>
      <c r="FK71" s="1148"/>
      <c r="FL71" s="1148"/>
      <c r="FM71" s="1148"/>
      <c r="FN71" s="1148"/>
      <c r="FO71" s="1148"/>
      <c r="FP71" s="1148"/>
      <c r="FQ71" s="1148"/>
      <c r="FR71" s="1164"/>
    </row>
    <row r="72" spans="1:174" ht="75.75" customHeight="1" x14ac:dyDescent="0.2">
      <c r="A72" s="3551"/>
      <c r="B72" s="3552"/>
      <c r="C72" s="3553"/>
      <c r="D72" s="3557"/>
      <c r="E72" s="3558"/>
      <c r="F72" s="3559"/>
      <c r="G72" s="3736"/>
      <c r="H72" s="3736"/>
      <c r="I72" s="3736"/>
      <c r="J72" s="3738">
        <v>47</v>
      </c>
      <c r="K72" s="3638" t="s">
        <v>865</v>
      </c>
      <c r="L72" s="3741" t="s">
        <v>19</v>
      </c>
      <c r="M72" s="3640">
        <v>12</v>
      </c>
      <c r="N72" s="3745">
        <v>12</v>
      </c>
      <c r="O72" s="3560" t="s">
        <v>896</v>
      </c>
      <c r="P72" s="3657">
        <v>56</v>
      </c>
      <c r="Q72" s="3659" t="s">
        <v>897</v>
      </c>
      <c r="R72" s="3652">
        <f>W72/S72</f>
        <v>0.63636363636363635</v>
      </c>
      <c r="S72" s="3582">
        <v>165000000</v>
      </c>
      <c r="T72" s="3638" t="s">
        <v>898</v>
      </c>
      <c r="U72" s="3638" t="s">
        <v>899</v>
      </c>
      <c r="V72" s="3647" t="s">
        <v>900</v>
      </c>
      <c r="W72" s="3588">
        <v>105000000</v>
      </c>
      <c r="X72" s="3596">
        <f>102670000+9890000-5000000-4950000</f>
        <v>102610000</v>
      </c>
      <c r="Y72" s="3596">
        <v>102610000</v>
      </c>
      <c r="Z72" s="3766">
        <v>20</v>
      </c>
      <c r="AA72" s="3634" t="s">
        <v>130</v>
      </c>
      <c r="AB72" s="3760">
        <v>64149</v>
      </c>
      <c r="AC72" s="2311"/>
      <c r="AD72" s="3760" t="s">
        <v>811</v>
      </c>
      <c r="AE72" s="2311"/>
      <c r="AF72" s="3760" t="s">
        <v>812</v>
      </c>
      <c r="AG72" s="2311"/>
      <c r="AH72" s="3760" t="s">
        <v>813</v>
      </c>
      <c r="AI72" s="2311"/>
      <c r="AJ72" s="3760" t="s">
        <v>814</v>
      </c>
      <c r="AK72" s="2311"/>
      <c r="AL72" s="3760" t="s">
        <v>815</v>
      </c>
      <c r="AM72" s="2311"/>
      <c r="AN72" s="3760">
        <v>13208</v>
      </c>
      <c r="AO72" s="2311"/>
      <c r="AP72" s="3760">
        <v>1827</v>
      </c>
      <c r="AQ72" s="2312"/>
      <c r="AR72" s="1165"/>
      <c r="AS72" s="3757"/>
      <c r="AT72" s="3760"/>
      <c r="AU72" s="3757"/>
      <c r="AV72" s="3760"/>
      <c r="AW72" s="3757"/>
      <c r="AX72" s="3760"/>
      <c r="AY72" s="3757"/>
      <c r="AZ72" s="1166" t="s">
        <v>901</v>
      </c>
      <c r="BA72" s="2324">
        <v>5000000</v>
      </c>
      <c r="BB72" s="2324">
        <v>5000000</v>
      </c>
      <c r="BC72" s="2324">
        <v>100</v>
      </c>
      <c r="BD72" s="2324" t="s">
        <v>165</v>
      </c>
      <c r="BE72" s="1167" t="s">
        <v>848</v>
      </c>
      <c r="BF72" s="2324" t="s">
        <v>902</v>
      </c>
      <c r="BG72" s="2351" t="s">
        <v>903</v>
      </c>
      <c r="BH72" s="2324" t="s">
        <v>904</v>
      </c>
      <c r="BI72" s="2351" t="s">
        <v>905</v>
      </c>
      <c r="BJ72" s="3722"/>
    </row>
    <row r="73" spans="1:174" ht="66" customHeight="1" x14ac:dyDescent="0.2">
      <c r="A73" s="3551"/>
      <c r="B73" s="3552"/>
      <c r="C73" s="3553"/>
      <c r="D73" s="3557"/>
      <c r="E73" s="3558"/>
      <c r="F73" s="3559"/>
      <c r="G73" s="3737"/>
      <c r="H73" s="3737"/>
      <c r="I73" s="3737"/>
      <c r="J73" s="3739"/>
      <c r="K73" s="3659"/>
      <c r="L73" s="3628"/>
      <c r="M73" s="3743"/>
      <c r="N73" s="3745"/>
      <c r="O73" s="3634"/>
      <c r="P73" s="3636"/>
      <c r="Q73" s="3659"/>
      <c r="R73" s="3652"/>
      <c r="S73" s="3583"/>
      <c r="T73" s="3659"/>
      <c r="U73" s="3659"/>
      <c r="V73" s="3647"/>
      <c r="W73" s="3589"/>
      <c r="X73" s="3597"/>
      <c r="Y73" s="3597"/>
      <c r="Z73" s="3767"/>
      <c r="AA73" s="3634"/>
      <c r="AB73" s="3761"/>
      <c r="AC73" s="2312"/>
      <c r="AD73" s="3761"/>
      <c r="AE73" s="2312"/>
      <c r="AF73" s="3761"/>
      <c r="AG73" s="2312"/>
      <c r="AH73" s="3761"/>
      <c r="AI73" s="2312"/>
      <c r="AJ73" s="3761"/>
      <c r="AK73" s="2312"/>
      <c r="AL73" s="3761"/>
      <c r="AM73" s="2312"/>
      <c r="AN73" s="3761"/>
      <c r="AO73" s="2312"/>
      <c r="AP73" s="3761"/>
      <c r="AQ73" s="2312"/>
      <c r="AR73" s="1165"/>
      <c r="AS73" s="3758"/>
      <c r="AT73" s="3761"/>
      <c r="AU73" s="3758"/>
      <c r="AV73" s="3761"/>
      <c r="AW73" s="3758"/>
      <c r="AX73" s="3761"/>
      <c r="AY73" s="3758"/>
      <c r="AZ73" s="1167" t="s">
        <v>906</v>
      </c>
      <c r="BA73" s="2345">
        <v>32000000</v>
      </c>
      <c r="BB73" s="2345">
        <v>32000000</v>
      </c>
      <c r="BC73" s="2345">
        <v>100</v>
      </c>
      <c r="BD73" s="2324" t="s">
        <v>165</v>
      </c>
      <c r="BE73" s="1167" t="s">
        <v>848</v>
      </c>
      <c r="BF73" s="2324" t="s">
        <v>907</v>
      </c>
      <c r="BG73" s="2343">
        <v>42962</v>
      </c>
      <c r="BH73" s="2343">
        <v>42720</v>
      </c>
      <c r="BI73" s="2343">
        <v>42720</v>
      </c>
      <c r="BJ73" s="3722"/>
    </row>
    <row r="74" spans="1:174" ht="54" customHeight="1" x14ac:dyDescent="0.2">
      <c r="A74" s="3551"/>
      <c r="B74" s="3552"/>
      <c r="C74" s="3553"/>
      <c r="D74" s="3557"/>
      <c r="E74" s="3558"/>
      <c r="F74" s="3559"/>
      <c r="G74" s="3737"/>
      <c r="H74" s="3737"/>
      <c r="I74" s="3737"/>
      <c r="J74" s="3739"/>
      <c r="K74" s="3659"/>
      <c r="L74" s="3628"/>
      <c r="M74" s="3743"/>
      <c r="N74" s="3745"/>
      <c r="O74" s="3634"/>
      <c r="P74" s="3636"/>
      <c r="Q74" s="3659"/>
      <c r="R74" s="3652"/>
      <c r="S74" s="3583"/>
      <c r="T74" s="3659"/>
      <c r="U74" s="3659"/>
      <c r="V74" s="3647"/>
      <c r="W74" s="3589"/>
      <c r="X74" s="3597"/>
      <c r="Y74" s="3597"/>
      <c r="Z74" s="3767"/>
      <c r="AA74" s="3634"/>
      <c r="AB74" s="3761"/>
      <c r="AC74" s="2312"/>
      <c r="AD74" s="3761"/>
      <c r="AE74" s="2312"/>
      <c r="AF74" s="3761"/>
      <c r="AG74" s="2312"/>
      <c r="AH74" s="3761"/>
      <c r="AI74" s="2312"/>
      <c r="AJ74" s="3761"/>
      <c r="AK74" s="2312"/>
      <c r="AL74" s="3761"/>
      <c r="AM74" s="2312"/>
      <c r="AN74" s="3761"/>
      <c r="AO74" s="2312"/>
      <c r="AP74" s="3761"/>
      <c r="AQ74" s="2312"/>
      <c r="AR74" s="1165"/>
      <c r="AS74" s="3758"/>
      <c r="AT74" s="3761"/>
      <c r="AU74" s="3758"/>
      <c r="AV74" s="3761"/>
      <c r="AW74" s="3758"/>
      <c r="AX74" s="3761"/>
      <c r="AY74" s="3758"/>
      <c r="AZ74" s="1166" t="s">
        <v>908</v>
      </c>
      <c r="BA74" s="2324">
        <v>60000000</v>
      </c>
      <c r="BB74" s="2324">
        <v>60000000</v>
      </c>
      <c r="BC74" s="2324">
        <v>100</v>
      </c>
      <c r="BD74" s="2324" t="s">
        <v>165</v>
      </c>
      <c r="BE74" s="1167" t="s">
        <v>848</v>
      </c>
      <c r="BF74" s="1168">
        <v>42684</v>
      </c>
      <c r="BG74" s="2343">
        <v>42684</v>
      </c>
      <c r="BH74" s="1168">
        <v>42734</v>
      </c>
      <c r="BI74" s="2343">
        <v>42734</v>
      </c>
      <c r="BJ74" s="3722"/>
    </row>
    <row r="75" spans="1:174" ht="48" customHeight="1" x14ac:dyDescent="0.2">
      <c r="A75" s="3551"/>
      <c r="B75" s="3552"/>
      <c r="C75" s="3553"/>
      <c r="D75" s="3557"/>
      <c r="E75" s="3558"/>
      <c r="F75" s="3559"/>
      <c r="G75" s="3737"/>
      <c r="H75" s="3737"/>
      <c r="I75" s="3737"/>
      <c r="J75" s="3739"/>
      <c r="K75" s="3659"/>
      <c r="L75" s="3628"/>
      <c r="M75" s="3743"/>
      <c r="N75" s="3745"/>
      <c r="O75" s="3634"/>
      <c r="P75" s="3636"/>
      <c r="Q75" s="3659"/>
      <c r="R75" s="3652"/>
      <c r="S75" s="3583"/>
      <c r="T75" s="3659"/>
      <c r="U75" s="3659"/>
      <c r="V75" s="3647"/>
      <c r="W75" s="3589"/>
      <c r="X75" s="3597"/>
      <c r="Y75" s="3597"/>
      <c r="Z75" s="3767"/>
      <c r="AA75" s="3634"/>
      <c r="AB75" s="3761"/>
      <c r="AC75" s="2312"/>
      <c r="AD75" s="3761"/>
      <c r="AE75" s="2312"/>
      <c r="AF75" s="3761"/>
      <c r="AG75" s="2312"/>
      <c r="AH75" s="3761"/>
      <c r="AI75" s="2312"/>
      <c r="AJ75" s="3761"/>
      <c r="AK75" s="2312"/>
      <c r="AL75" s="3761"/>
      <c r="AM75" s="2312"/>
      <c r="AN75" s="3761"/>
      <c r="AO75" s="2312"/>
      <c r="AP75" s="3761"/>
      <c r="AQ75" s="2312"/>
      <c r="AR75" s="1165"/>
      <c r="AS75" s="3758"/>
      <c r="AT75" s="3761"/>
      <c r="AU75" s="3758"/>
      <c r="AV75" s="3761"/>
      <c r="AW75" s="3758"/>
      <c r="AX75" s="3761"/>
      <c r="AY75" s="3758"/>
      <c r="AZ75" s="1166" t="s">
        <v>909</v>
      </c>
      <c r="BA75" s="2324">
        <v>4170000</v>
      </c>
      <c r="BB75" s="2324">
        <v>4170000</v>
      </c>
      <c r="BC75" s="2324">
        <v>100</v>
      </c>
      <c r="BD75" s="2324" t="s">
        <v>165</v>
      </c>
      <c r="BE75" s="1167" t="s">
        <v>848</v>
      </c>
      <c r="BF75" s="1168">
        <v>42691</v>
      </c>
      <c r="BG75" s="2343">
        <v>42691</v>
      </c>
      <c r="BH75" s="1168">
        <v>42734</v>
      </c>
      <c r="BI75" s="2343">
        <v>42734</v>
      </c>
      <c r="BJ75" s="3722"/>
    </row>
    <row r="76" spans="1:174" ht="13.5" customHeight="1" x14ac:dyDescent="0.2">
      <c r="A76" s="3551"/>
      <c r="B76" s="3552"/>
      <c r="C76" s="3553"/>
      <c r="D76" s="3557"/>
      <c r="E76" s="3558"/>
      <c r="F76" s="3559"/>
      <c r="G76" s="3737"/>
      <c r="H76" s="3737"/>
      <c r="I76" s="3737"/>
      <c r="J76" s="3739"/>
      <c r="K76" s="3659"/>
      <c r="L76" s="3628"/>
      <c r="M76" s="3743"/>
      <c r="N76" s="3745"/>
      <c r="O76" s="3634"/>
      <c r="P76" s="3636"/>
      <c r="Q76" s="3659"/>
      <c r="R76" s="3652"/>
      <c r="S76" s="3583"/>
      <c r="T76" s="3659"/>
      <c r="U76" s="3659"/>
      <c r="V76" s="3647"/>
      <c r="W76" s="3589"/>
      <c r="X76" s="3597"/>
      <c r="Y76" s="3597"/>
      <c r="Z76" s="3767"/>
      <c r="AA76" s="3634"/>
      <c r="AB76" s="3761"/>
      <c r="AC76" s="2312"/>
      <c r="AD76" s="3761"/>
      <c r="AE76" s="2312"/>
      <c r="AF76" s="3761"/>
      <c r="AG76" s="2312"/>
      <c r="AH76" s="3761"/>
      <c r="AI76" s="2312"/>
      <c r="AJ76" s="3761"/>
      <c r="AK76" s="2312"/>
      <c r="AL76" s="3761"/>
      <c r="AM76" s="2312"/>
      <c r="AN76" s="3761"/>
      <c r="AO76" s="2312"/>
      <c r="AP76" s="3761"/>
      <c r="AQ76" s="2312"/>
      <c r="AR76" s="1165"/>
      <c r="AS76" s="3758"/>
      <c r="AT76" s="3761"/>
      <c r="AU76" s="3758"/>
      <c r="AV76" s="3761"/>
      <c r="AW76" s="3758"/>
      <c r="AX76" s="3761"/>
      <c r="AY76" s="3758"/>
      <c r="AZ76" s="3640" t="s">
        <v>910</v>
      </c>
      <c r="BA76" s="3640">
        <v>1440000</v>
      </c>
      <c r="BB76" s="3640">
        <v>1440000</v>
      </c>
      <c r="BC76" s="3640">
        <v>100</v>
      </c>
      <c r="BD76" s="3640" t="s">
        <v>165</v>
      </c>
      <c r="BE76" s="3753" t="s">
        <v>848</v>
      </c>
      <c r="BF76" s="3755">
        <v>42710</v>
      </c>
      <c r="BG76" s="3746">
        <v>42710</v>
      </c>
      <c r="BH76" s="3755">
        <v>42734</v>
      </c>
      <c r="BI76" s="3746">
        <v>42734</v>
      </c>
      <c r="BJ76" s="3722"/>
    </row>
    <row r="77" spans="1:174" ht="28.5" customHeight="1" x14ac:dyDescent="0.2">
      <c r="A77" s="3551"/>
      <c r="B77" s="3552"/>
      <c r="C77" s="3553"/>
      <c r="D77" s="3557"/>
      <c r="E77" s="3558"/>
      <c r="F77" s="3559"/>
      <c r="G77" s="3737"/>
      <c r="H77" s="3737"/>
      <c r="I77" s="3737"/>
      <c r="J77" s="3740"/>
      <c r="K77" s="3637"/>
      <c r="L77" s="3628"/>
      <c r="M77" s="3744"/>
      <c r="N77" s="3745"/>
      <c r="O77" s="3634"/>
      <c r="P77" s="3636"/>
      <c r="Q77" s="3659"/>
      <c r="R77" s="3652"/>
      <c r="S77" s="3583"/>
      <c r="T77" s="3659"/>
      <c r="U77" s="3637"/>
      <c r="V77" s="3649"/>
      <c r="W77" s="3590"/>
      <c r="X77" s="3598"/>
      <c r="Y77" s="3598"/>
      <c r="Z77" s="3767"/>
      <c r="AA77" s="3634"/>
      <c r="AB77" s="3761"/>
      <c r="AC77" s="2312"/>
      <c r="AD77" s="3761"/>
      <c r="AE77" s="2312"/>
      <c r="AF77" s="3761"/>
      <c r="AG77" s="2312"/>
      <c r="AH77" s="3761"/>
      <c r="AI77" s="2312"/>
      <c r="AJ77" s="3761"/>
      <c r="AK77" s="2312"/>
      <c r="AL77" s="3761"/>
      <c r="AM77" s="2312"/>
      <c r="AN77" s="3761"/>
      <c r="AO77" s="2312"/>
      <c r="AP77" s="3761"/>
      <c r="AQ77" s="2312"/>
      <c r="AR77" s="1165"/>
      <c r="AS77" s="3758"/>
      <c r="AT77" s="3761"/>
      <c r="AU77" s="3758"/>
      <c r="AV77" s="3761"/>
      <c r="AW77" s="3758"/>
      <c r="AX77" s="3761"/>
      <c r="AY77" s="3758"/>
      <c r="AZ77" s="3744"/>
      <c r="BA77" s="3744"/>
      <c r="BB77" s="3744"/>
      <c r="BC77" s="3744"/>
      <c r="BD77" s="3744"/>
      <c r="BE77" s="3754"/>
      <c r="BF77" s="3756"/>
      <c r="BG77" s="3747"/>
      <c r="BH77" s="3756"/>
      <c r="BI77" s="3747"/>
      <c r="BJ77" s="3722"/>
    </row>
    <row r="78" spans="1:174" ht="13.5" customHeight="1" x14ac:dyDescent="0.2">
      <c r="A78" s="3551"/>
      <c r="B78" s="3552"/>
      <c r="C78" s="3553"/>
      <c r="D78" s="3557"/>
      <c r="E78" s="3558"/>
      <c r="F78" s="3559"/>
      <c r="G78" s="3737"/>
      <c r="H78" s="3737"/>
      <c r="I78" s="3737"/>
      <c r="J78" s="3748">
        <v>48</v>
      </c>
      <c r="K78" s="3563" t="s">
        <v>911</v>
      </c>
      <c r="L78" s="3628"/>
      <c r="M78" s="3639">
        <v>1</v>
      </c>
      <c r="N78" s="3749">
        <v>0.5</v>
      </c>
      <c r="O78" s="3634"/>
      <c r="P78" s="3636"/>
      <c r="Q78" s="3659"/>
      <c r="R78" s="3652">
        <f>W78/S72</f>
        <v>0.33333333333333331</v>
      </c>
      <c r="S78" s="3583"/>
      <c r="T78" s="3659"/>
      <c r="U78" s="3563" t="s">
        <v>912</v>
      </c>
      <c r="V78" s="3750" t="s">
        <v>913</v>
      </c>
      <c r="W78" s="3710">
        <v>55000000</v>
      </c>
      <c r="X78" s="3502">
        <v>5000000</v>
      </c>
      <c r="Y78" s="3502">
        <v>5000000</v>
      </c>
      <c r="Z78" s="3767"/>
      <c r="AA78" s="3634"/>
      <c r="AB78" s="3761"/>
      <c r="AC78" s="2312"/>
      <c r="AD78" s="3761"/>
      <c r="AE78" s="2312"/>
      <c r="AF78" s="3761"/>
      <c r="AG78" s="2312"/>
      <c r="AH78" s="3761"/>
      <c r="AI78" s="2312"/>
      <c r="AJ78" s="3761"/>
      <c r="AK78" s="2312"/>
      <c r="AL78" s="3761"/>
      <c r="AM78" s="2312"/>
      <c r="AN78" s="3761"/>
      <c r="AO78" s="2312"/>
      <c r="AP78" s="3761"/>
      <c r="AQ78" s="2312"/>
      <c r="AR78" s="1165"/>
      <c r="AS78" s="3758"/>
      <c r="AT78" s="3761"/>
      <c r="AU78" s="3758"/>
      <c r="AV78" s="3761"/>
      <c r="AW78" s="3758"/>
      <c r="AX78" s="3761"/>
      <c r="AY78" s="3758"/>
      <c r="AZ78" s="3639" t="s">
        <v>914</v>
      </c>
      <c r="BA78" s="3639">
        <v>5000000</v>
      </c>
      <c r="BB78" s="3639">
        <v>5000000</v>
      </c>
      <c r="BC78" s="3639">
        <v>100</v>
      </c>
      <c r="BD78" s="3639" t="s">
        <v>165</v>
      </c>
      <c r="BE78" s="3562" t="s">
        <v>915</v>
      </c>
      <c r="BF78" s="3640" t="s">
        <v>902</v>
      </c>
      <c r="BG78" s="3651" t="s">
        <v>916</v>
      </c>
      <c r="BH78" s="3639" t="s">
        <v>904</v>
      </c>
      <c r="BI78" s="3651" t="s">
        <v>917</v>
      </c>
      <c r="BJ78" s="3722"/>
    </row>
    <row r="79" spans="1:174" ht="24" customHeight="1" x14ac:dyDescent="0.2">
      <c r="A79" s="3551"/>
      <c r="B79" s="3552"/>
      <c r="C79" s="3553"/>
      <c r="D79" s="3557"/>
      <c r="E79" s="3558"/>
      <c r="F79" s="3559"/>
      <c r="G79" s="3737"/>
      <c r="H79" s="3737"/>
      <c r="I79" s="3737"/>
      <c r="J79" s="3748"/>
      <c r="K79" s="3563"/>
      <c r="L79" s="3628"/>
      <c r="M79" s="3639"/>
      <c r="N79" s="3749"/>
      <c r="O79" s="3634"/>
      <c r="P79" s="3636"/>
      <c r="Q79" s="3659"/>
      <c r="R79" s="3652"/>
      <c r="S79" s="3583"/>
      <c r="T79" s="3659"/>
      <c r="U79" s="3563"/>
      <c r="V79" s="3751"/>
      <c r="W79" s="3710"/>
      <c r="X79" s="3502"/>
      <c r="Y79" s="3502"/>
      <c r="Z79" s="3767"/>
      <c r="AA79" s="3634"/>
      <c r="AB79" s="3761"/>
      <c r="AC79" s="2312"/>
      <c r="AD79" s="3761"/>
      <c r="AE79" s="2312"/>
      <c r="AF79" s="3761"/>
      <c r="AG79" s="2312"/>
      <c r="AH79" s="3761"/>
      <c r="AI79" s="2312"/>
      <c r="AJ79" s="3761"/>
      <c r="AK79" s="2312"/>
      <c r="AL79" s="3761"/>
      <c r="AM79" s="2312"/>
      <c r="AN79" s="3761"/>
      <c r="AO79" s="2312"/>
      <c r="AP79" s="3761"/>
      <c r="AQ79" s="2312"/>
      <c r="AR79" s="1165"/>
      <c r="AS79" s="3758"/>
      <c r="AT79" s="3761"/>
      <c r="AU79" s="3758"/>
      <c r="AV79" s="3761"/>
      <c r="AW79" s="3758"/>
      <c r="AX79" s="3761"/>
      <c r="AY79" s="3758"/>
      <c r="AZ79" s="3639"/>
      <c r="BA79" s="3639"/>
      <c r="BB79" s="3639"/>
      <c r="BC79" s="3639"/>
      <c r="BD79" s="3639"/>
      <c r="BE79" s="3562"/>
      <c r="BF79" s="3743"/>
      <c r="BG79" s="3651"/>
      <c r="BH79" s="3639"/>
      <c r="BI79" s="3651"/>
      <c r="BJ79" s="3722"/>
    </row>
    <row r="80" spans="1:174" ht="13.5" customHeight="1" x14ac:dyDescent="0.2">
      <c r="A80" s="3551"/>
      <c r="B80" s="3552"/>
      <c r="C80" s="3553"/>
      <c r="D80" s="3557"/>
      <c r="E80" s="3558"/>
      <c r="F80" s="3559"/>
      <c r="G80" s="3737"/>
      <c r="H80" s="3737"/>
      <c r="I80" s="3737"/>
      <c r="J80" s="3748"/>
      <c r="K80" s="3563"/>
      <c r="L80" s="3628"/>
      <c r="M80" s="3639"/>
      <c r="N80" s="3749"/>
      <c r="O80" s="3634"/>
      <c r="P80" s="3636"/>
      <c r="Q80" s="3659"/>
      <c r="R80" s="3652"/>
      <c r="S80" s="3583"/>
      <c r="T80" s="3659"/>
      <c r="U80" s="3563"/>
      <c r="V80" s="3751"/>
      <c r="W80" s="3710"/>
      <c r="X80" s="3502"/>
      <c r="Y80" s="3502"/>
      <c r="Z80" s="3767"/>
      <c r="AA80" s="3634"/>
      <c r="AB80" s="3761"/>
      <c r="AC80" s="2312"/>
      <c r="AD80" s="3761"/>
      <c r="AE80" s="2312"/>
      <c r="AF80" s="3761"/>
      <c r="AG80" s="2312"/>
      <c r="AH80" s="3761"/>
      <c r="AI80" s="2312"/>
      <c r="AJ80" s="3761"/>
      <c r="AK80" s="2312"/>
      <c r="AL80" s="3761"/>
      <c r="AM80" s="2312"/>
      <c r="AN80" s="3761"/>
      <c r="AO80" s="2312"/>
      <c r="AP80" s="3761"/>
      <c r="AQ80" s="2312"/>
      <c r="AR80" s="1165"/>
      <c r="AS80" s="3758"/>
      <c r="AT80" s="3761"/>
      <c r="AU80" s="3758"/>
      <c r="AV80" s="3761"/>
      <c r="AW80" s="3758"/>
      <c r="AX80" s="3761"/>
      <c r="AY80" s="3758"/>
      <c r="AZ80" s="3639"/>
      <c r="BA80" s="3639"/>
      <c r="BB80" s="3639"/>
      <c r="BC80" s="3639"/>
      <c r="BD80" s="3639"/>
      <c r="BE80" s="3562"/>
      <c r="BF80" s="3743"/>
      <c r="BG80" s="3651"/>
      <c r="BH80" s="3639"/>
      <c r="BI80" s="3651"/>
      <c r="BJ80" s="3722"/>
    </row>
    <row r="81" spans="1:881" ht="13.5" customHeight="1" x14ac:dyDescent="0.2">
      <c r="A81" s="3551"/>
      <c r="B81" s="3552"/>
      <c r="C81" s="3553"/>
      <c r="D81" s="3557"/>
      <c r="E81" s="3558"/>
      <c r="F81" s="3559"/>
      <c r="G81" s="3737"/>
      <c r="H81" s="3737"/>
      <c r="I81" s="3737"/>
      <c r="J81" s="3748"/>
      <c r="K81" s="3563"/>
      <c r="L81" s="3628"/>
      <c r="M81" s="3639"/>
      <c r="N81" s="3749"/>
      <c r="O81" s="3634"/>
      <c r="P81" s="3636"/>
      <c r="Q81" s="3659"/>
      <c r="R81" s="3652"/>
      <c r="S81" s="3583"/>
      <c r="T81" s="3659"/>
      <c r="U81" s="3563"/>
      <c r="V81" s="3752"/>
      <c r="W81" s="3710"/>
      <c r="X81" s="3502"/>
      <c r="Y81" s="3502"/>
      <c r="Z81" s="3767"/>
      <c r="AA81" s="3634"/>
      <c r="AB81" s="3761"/>
      <c r="AC81" s="2312"/>
      <c r="AD81" s="3761"/>
      <c r="AE81" s="2312"/>
      <c r="AF81" s="3761"/>
      <c r="AG81" s="2312"/>
      <c r="AH81" s="3761"/>
      <c r="AI81" s="2312"/>
      <c r="AJ81" s="3761"/>
      <c r="AK81" s="2312"/>
      <c r="AL81" s="3761"/>
      <c r="AM81" s="2312"/>
      <c r="AN81" s="3761"/>
      <c r="AO81" s="2312"/>
      <c r="AP81" s="3761"/>
      <c r="AQ81" s="2312"/>
      <c r="AR81" s="1165"/>
      <c r="AS81" s="3758"/>
      <c r="AT81" s="3761"/>
      <c r="AU81" s="3758"/>
      <c r="AV81" s="3761"/>
      <c r="AW81" s="3758"/>
      <c r="AX81" s="3761"/>
      <c r="AY81" s="3758"/>
      <c r="AZ81" s="3639"/>
      <c r="BA81" s="3639"/>
      <c r="BB81" s="3639"/>
      <c r="BC81" s="3639"/>
      <c r="BD81" s="3639"/>
      <c r="BE81" s="3562"/>
      <c r="BF81" s="3744"/>
      <c r="BG81" s="3651"/>
      <c r="BH81" s="3639"/>
      <c r="BI81" s="3651"/>
      <c r="BJ81" s="3722"/>
    </row>
    <row r="82" spans="1:881" ht="21.75" customHeight="1" x14ac:dyDescent="0.2">
      <c r="A82" s="3551"/>
      <c r="B82" s="3552"/>
      <c r="C82" s="3553"/>
      <c r="D82" s="3557"/>
      <c r="E82" s="3558"/>
      <c r="F82" s="3559"/>
      <c r="G82" s="3737"/>
      <c r="H82" s="3737"/>
      <c r="I82" s="3737"/>
      <c r="J82" s="3748">
        <v>49</v>
      </c>
      <c r="K82" s="3563" t="s">
        <v>918</v>
      </c>
      <c r="L82" s="3628"/>
      <c r="M82" s="3639">
        <v>1</v>
      </c>
      <c r="N82" s="3763">
        <v>0.5</v>
      </c>
      <c r="O82" s="3634"/>
      <c r="P82" s="3636"/>
      <c r="Q82" s="3659"/>
      <c r="R82" s="3644">
        <f>W82/S72</f>
        <v>3.0303030303030304E-2</v>
      </c>
      <c r="S82" s="3583"/>
      <c r="T82" s="3659"/>
      <c r="U82" s="3563"/>
      <c r="V82" s="3646" t="s">
        <v>919</v>
      </c>
      <c r="W82" s="3710">
        <v>5000000</v>
      </c>
      <c r="X82" s="3502">
        <v>4950000</v>
      </c>
      <c r="Y82" s="3502">
        <v>4950000</v>
      </c>
      <c r="Z82" s="3767"/>
      <c r="AA82" s="3634"/>
      <c r="AB82" s="3761"/>
      <c r="AC82" s="2312"/>
      <c r="AD82" s="3761"/>
      <c r="AE82" s="2312"/>
      <c r="AF82" s="3761"/>
      <c r="AG82" s="2312"/>
      <c r="AH82" s="3761"/>
      <c r="AI82" s="2312"/>
      <c r="AJ82" s="3761"/>
      <c r="AK82" s="2312"/>
      <c r="AL82" s="3761"/>
      <c r="AM82" s="2312"/>
      <c r="AN82" s="3761"/>
      <c r="AO82" s="2312"/>
      <c r="AP82" s="3761"/>
      <c r="AQ82" s="2312"/>
      <c r="AR82" s="1165"/>
      <c r="AS82" s="3758"/>
      <c r="AT82" s="3761"/>
      <c r="AU82" s="3758"/>
      <c r="AV82" s="3761"/>
      <c r="AW82" s="3758"/>
      <c r="AX82" s="3761"/>
      <c r="AY82" s="3758"/>
      <c r="AZ82" s="3639" t="s">
        <v>920</v>
      </c>
      <c r="BA82" s="3639">
        <v>4950000</v>
      </c>
      <c r="BB82" s="3639">
        <v>4950000</v>
      </c>
      <c r="BC82" s="3639">
        <v>100</v>
      </c>
      <c r="BD82" s="3639" t="s">
        <v>165</v>
      </c>
      <c r="BE82" s="3562" t="s">
        <v>848</v>
      </c>
      <c r="BF82" s="3640" t="s">
        <v>902</v>
      </c>
      <c r="BG82" s="3651" t="s">
        <v>826</v>
      </c>
      <c r="BH82" s="3639" t="s">
        <v>904</v>
      </c>
      <c r="BI82" s="3651" t="s">
        <v>921</v>
      </c>
      <c r="BJ82" s="3722"/>
    </row>
    <row r="83" spans="1:881" ht="28.5" customHeight="1" x14ac:dyDescent="0.2">
      <c r="A83" s="3551"/>
      <c r="B83" s="3552"/>
      <c r="C83" s="3553"/>
      <c r="D83" s="3557"/>
      <c r="E83" s="3558"/>
      <c r="F83" s="3559"/>
      <c r="G83" s="3737"/>
      <c r="H83" s="3737"/>
      <c r="I83" s="3737"/>
      <c r="J83" s="3748"/>
      <c r="K83" s="3563"/>
      <c r="L83" s="3628"/>
      <c r="M83" s="3639"/>
      <c r="N83" s="3764"/>
      <c r="O83" s="3634"/>
      <c r="P83" s="3636"/>
      <c r="Q83" s="3659"/>
      <c r="R83" s="3644"/>
      <c r="S83" s="3583"/>
      <c r="T83" s="3659"/>
      <c r="U83" s="3563"/>
      <c r="V83" s="3647"/>
      <c r="W83" s="3710"/>
      <c r="X83" s="3502"/>
      <c r="Y83" s="3502"/>
      <c r="Z83" s="3767"/>
      <c r="AA83" s="3634"/>
      <c r="AB83" s="3761"/>
      <c r="AC83" s="2312"/>
      <c r="AD83" s="3761"/>
      <c r="AE83" s="2312"/>
      <c r="AF83" s="3761"/>
      <c r="AG83" s="2312"/>
      <c r="AH83" s="3761"/>
      <c r="AI83" s="2312"/>
      <c r="AJ83" s="3761"/>
      <c r="AK83" s="2312"/>
      <c r="AL83" s="3761"/>
      <c r="AM83" s="2312"/>
      <c r="AN83" s="3761"/>
      <c r="AO83" s="2312"/>
      <c r="AP83" s="3761"/>
      <c r="AQ83" s="2312"/>
      <c r="AR83" s="1165"/>
      <c r="AS83" s="3758"/>
      <c r="AT83" s="3761"/>
      <c r="AU83" s="3758"/>
      <c r="AV83" s="3761"/>
      <c r="AW83" s="3758"/>
      <c r="AX83" s="3761"/>
      <c r="AY83" s="3758"/>
      <c r="AZ83" s="3639"/>
      <c r="BA83" s="3639"/>
      <c r="BB83" s="3639"/>
      <c r="BC83" s="3639"/>
      <c r="BD83" s="3639"/>
      <c r="BE83" s="3562"/>
      <c r="BF83" s="3743"/>
      <c r="BG83" s="3651"/>
      <c r="BH83" s="3639"/>
      <c r="BI83" s="3651"/>
      <c r="BJ83" s="3722"/>
    </row>
    <row r="84" spans="1:881" ht="18" customHeight="1" x14ac:dyDescent="0.2">
      <c r="A84" s="3551"/>
      <c r="B84" s="3552"/>
      <c r="C84" s="3553"/>
      <c r="D84" s="3557"/>
      <c r="E84" s="3558"/>
      <c r="F84" s="3559"/>
      <c r="G84" s="3737"/>
      <c r="H84" s="3737"/>
      <c r="I84" s="3737"/>
      <c r="J84" s="3748"/>
      <c r="K84" s="3563"/>
      <c r="L84" s="3628"/>
      <c r="M84" s="3639"/>
      <c r="N84" s="3764"/>
      <c r="O84" s="3634"/>
      <c r="P84" s="3636"/>
      <c r="Q84" s="3659"/>
      <c r="R84" s="3644"/>
      <c r="S84" s="3583"/>
      <c r="T84" s="3659"/>
      <c r="U84" s="3563"/>
      <c r="V84" s="3647"/>
      <c r="W84" s="3710"/>
      <c r="X84" s="3502"/>
      <c r="Y84" s="3502"/>
      <c r="Z84" s="3767"/>
      <c r="AA84" s="3634"/>
      <c r="AB84" s="3761"/>
      <c r="AC84" s="2312"/>
      <c r="AD84" s="3761"/>
      <c r="AE84" s="2312"/>
      <c r="AF84" s="3761"/>
      <c r="AG84" s="2312"/>
      <c r="AH84" s="3761"/>
      <c r="AI84" s="2312"/>
      <c r="AJ84" s="3761"/>
      <c r="AK84" s="2312"/>
      <c r="AL84" s="3761"/>
      <c r="AM84" s="2312"/>
      <c r="AN84" s="3761"/>
      <c r="AO84" s="2312"/>
      <c r="AP84" s="3761"/>
      <c r="AQ84" s="2312"/>
      <c r="AR84" s="1165"/>
      <c r="AS84" s="3758"/>
      <c r="AT84" s="3761"/>
      <c r="AU84" s="3758"/>
      <c r="AV84" s="3761"/>
      <c r="AW84" s="3758"/>
      <c r="AX84" s="3761"/>
      <c r="AY84" s="3758"/>
      <c r="AZ84" s="3639"/>
      <c r="BA84" s="3639"/>
      <c r="BB84" s="3639"/>
      <c r="BC84" s="3639"/>
      <c r="BD84" s="3639"/>
      <c r="BE84" s="3562"/>
      <c r="BF84" s="3743"/>
      <c r="BG84" s="3651"/>
      <c r="BH84" s="3639"/>
      <c r="BI84" s="3651"/>
      <c r="BJ84" s="3722"/>
    </row>
    <row r="85" spans="1:881" ht="13.5" customHeight="1" x14ac:dyDescent="0.2">
      <c r="A85" s="3551"/>
      <c r="B85" s="3552"/>
      <c r="C85" s="3553"/>
      <c r="D85" s="3557"/>
      <c r="E85" s="3558"/>
      <c r="F85" s="3559"/>
      <c r="G85" s="3737"/>
      <c r="H85" s="3737"/>
      <c r="I85" s="3737"/>
      <c r="J85" s="3748"/>
      <c r="K85" s="3563"/>
      <c r="L85" s="3628"/>
      <c r="M85" s="3639"/>
      <c r="N85" s="3764"/>
      <c r="O85" s="3634"/>
      <c r="P85" s="3636"/>
      <c r="Q85" s="3659"/>
      <c r="R85" s="3644"/>
      <c r="S85" s="3583"/>
      <c r="T85" s="3659"/>
      <c r="U85" s="3563"/>
      <c r="V85" s="3647"/>
      <c r="W85" s="3710"/>
      <c r="X85" s="3502"/>
      <c r="Y85" s="3502"/>
      <c r="Z85" s="3767"/>
      <c r="AA85" s="3634"/>
      <c r="AB85" s="3761"/>
      <c r="AC85" s="2312"/>
      <c r="AD85" s="3761"/>
      <c r="AE85" s="2312"/>
      <c r="AF85" s="3761"/>
      <c r="AG85" s="2312"/>
      <c r="AH85" s="3761"/>
      <c r="AI85" s="2312"/>
      <c r="AJ85" s="3761"/>
      <c r="AK85" s="2312"/>
      <c r="AL85" s="3761"/>
      <c r="AM85" s="2312"/>
      <c r="AN85" s="3761"/>
      <c r="AO85" s="2312"/>
      <c r="AP85" s="3761"/>
      <c r="AQ85" s="2312"/>
      <c r="AR85" s="1165"/>
      <c r="AS85" s="3758"/>
      <c r="AT85" s="3761"/>
      <c r="AU85" s="3758"/>
      <c r="AV85" s="3761"/>
      <c r="AW85" s="3758"/>
      <c r="AX85" s="3761"/>
      <c r="AY85" s="3758"/>
      <c r="AZ85" s="3639"/>
      <c r="BA85" s="3639"/>
      <c r="BB85" s="3639"/>
      <c r="BC85" s="3639"/>
      <c r="BD85" s="3639"/>
      <c r="BE85" s="3562"/>
      <c r="BF85" s="3743"/>
      <c r="BG85" s="3651"/>
      <c r="BH85" s="3639"/>
      <c r="BI85" s="3651"/>
      <c r="BJ85" s="3722"/>
    </row>
    <row r="86" spans="1:881" ht="28.5" customHeight="1" x14ac:dyDescent="0.2">
      <c r="A86" s="3551"/>
      <c r="B86" s="3552"/>
      <c r="C86" s="3553"/>
      <c r="D86" s="3557"/>
      <c r="E86" s="3560"/>
      <c r="F86" s="3561"/>
      <c r="G86" s="3737"/>
      <c r="H86" s="3737"/>
      <c r="I86" s="3737"/>
      <c r="J86" s="3738"/>
      <c r="K86" s="3638"/>
      <c r="L86" s="3742"/>
      <c r="M86" s="3640"/>
      <c r="N86" s="3765"/>
      <c r="O86" s="3635"/>
      <c r="P86" s="3658"/>
      <c r="Q86" s="3637"/>
      <c r="R86" s="3645"/>
      <c r="S86" s="3650"/>
      <c r="T86" s="3637"/>
      <c r="U86" s="3563"/>
      <c r="V86" s="3647"/>
      <c r="W86" s="3710"/>
      <c r="X86" s="3502"/>
      <c r="Y86" s="3502"/>
      <c r="Z86" s="3768"/>
      <c r="AA86" s="3635"/>
      <c r="AB86" s="3762"/>
      <c r="AC86" s="2313"/>
      <c r="AD86" s="3762"/>
      <c r="AE86" s="2313"/>
      <c r="AF86" s="3762"/>
      <c r="AG86" s="2313"/>
      <c r="AH86" s="3762"/>
      <c r="AI86" s="2313"/>
      <c r="AJ86" s="3762"/>
      <c r="AK86" s="2313"/>
      <c r="AL86" s="3762"/>
      <c r="AM86" s="2313"/>
      <c r="AN86" s="3762"/>
      <c r="AO86" s="2313"/>
      <c r="AP86" s="3762"/>
      <c r="AQ86" s="2313"/>
      <c r="AR86" s="1169"/>
      <c r="AS86" s="3759"/>
      <c r="AT86" s="3762"/>
      <c r="AU86" s="3759"/>
      <c r="AV86" s="3762"/>
      <c r="AW86" s="3759"/>
      <c r="AX86" s="3762"/>
      <c r="AY86" s="3759"/>
      <c r="AZ86" s="3639"/>
      <c r="BA86" s="3639"/>
      <c r="BB86" s="3639"/>
      <c r="BC86" s="3639"/>
      <c r="BD86" s="3639"/>
      <c r="BE86" s="3562"/>
      <c r="BF86" s="3744"/>
      <c r="BG86" s="3651"/>
      <c r="BH86" s="3639"/>
      <c r="BI86" s="3651"/>
      <c r="BJ86" s="3724"/>
    </row>
    <row r="87" spans="1:881" ht="13.5" customHeight="1" x14ac:dyDescent="0.2">
      <c r="A87" s="3551"/>
      <c r="B87" s="3552"/>
      <c r="C87" s="3553"/>
      <c r="D87" s="3769">
        <v>3</v>
      </c>
      <c r="E87" s="1170" t="s">
        <v>922</v>
      </c>
      <c r="F87" s="1171"/>
      <c r="G87" s="1171"/>
      <c r="H87" s="1171"/>
      <c r="I87" s="1171"/>
      <c r="J87" s="1171"/>
      <c r="K87" s="4905"/>
      <c r="L87" s="1171"/>
      <c r="M87" s="1171"/>
      <c r="N87" s="1172"/>
      <c r="O87" s="1171"/>
      <c r="P87" s="1171"/>
      <c r="Q87" s="1171"/>
      <c r="R87" s="1171"/>
      <c r="S87" s="1171"/>
      <c r="T87" s="1171"/>
      <c r="U87" s="1171"/>
      <c r="V87" s="1171"/>
      <c r="W87" s="1171"/>
      <c r="X87" s="1172"/>
      <c r="Y87" s="1172"/>
      <c r="Z87" s="1171"/>
      <c r="AA87" s="1171"/>
      <c r="AB87" s="1171"/>
      <c r="AC87" s="1172"/>
      <c r="AD87" s="1171"/>
      <c r="AE87" s="1172"/>
      <c r="AF87" s="1171"/>
      <c r="AG87" s="1172"/>
      <c r="AH87" s="1171"/>
      <c r="AI87" s="1172"/>
      <c r="AJ87" s="1171"/>
      <c r="AK87" s="1172"/>
      <c r="AL87" s="1171"/>
      <c r="AM87" s="1172"/>
      <c r="AN87" s="1171"/>
      <c r="AO87" s="1172"/>
      <c r="AP87" s="1171"/>
      <c r="AQ87" s="1172"/>
      <c r="AR87" s="1171"/>
      <c r="AS87" s="1172"/>
      <c r="AT87" s="1171"/>
      <c r="AU87" s="1172"/>
      <c r="AV87" s="1171"/>
      <c r="AW87" s="1172"/>
      <c r="AX87" s="1171"/>
      <c r="AY87" s="1172"/>
      <c r="AZ87" s="1173"/>
      <c r="BA87" s="1101"/>
      <c r="BB87" s="1173"/>
      <c r="BC87" s="1173"/>
      <c r="BD87" s="1102"/>
      <c r="BE87" s="1102"/>
      <c r="BF87" s="1102"/>
      <c r="BG87" s="1174"/>
      <c r="BH87" s="1173"/>
      <c r="BI87" s="1174"/>
      <c r="BJ87" s="3771"/>
    </row>
    <row r="88" spans="1:881" ht="13.5" customHeight="1" x14ac:dyDescent="0.2">
      <c r="A88" s="3551"/>
      <c r="B88" s="3552"/>
      <c r="C88" s="3553"/>
      <c r="D88" s="3770"/>
      <c r="E88" s="1175"/>
      <c r="F88" s="1173"/>
      <c r="G88" s="1173"/>
      <c r="H88" s="1173"/>
      <c r="I88" s="1173"/>
      <c r="J88" s="1176"/>
      <c r="K88" s="4906"/>
      <c r="L88" s="1176"/>
      <c r="M88" s="1176"/>
      <c r="N88" s="1177"/>
      <c r="O88" s="1176"/>
      <c r="P88" s="1176"/>
      <c r="Q88" s="1176"/>
      <c r="R88" s="1176"/>
      <c r="S88" s="1176"/>
      <c r="T88" s="1176"/>
      <c r="U88" s="1176"/>
      <c r="V88" s="1176"/>
      <c r="W88" s="1176"/>
      <c r="X88" s="1177"/>
      <c r="Y88" s="1177"/>
      <c r="Z88" s="1176"/>
      <c r="AA88" s="1176"/>
      <c r="AB88" s="1176"/>
      <c r="AC88" s="1177"/>
      <c r="AD88" s="1176"/>
      <c r="AE88" s="1177"/>
      <c r="AF88" s="1176"/>
      <c r="AG88" s="1177"/>
      <c r="AH88" s="1176"/>
      <c r="AI88" s="1177"/>
      <c r="AJ88" s="1176"/>
      <c r="AK88" s="1177"/>
      <c r="AL88" s="1176"/>
      <c r="AM88" s="1177"/>
      <c r="AN88" s="1176"/>
      <c r="AO88" s="1177"/>
      <c r="AP88" s="1176"/>
      <c r="AQ88" s="1177"/>
      <c r="AR88" s="1176"/>
      <c r="AS88" s="1177"/>
      <c r="AT88" s="1176"/>
      <c r="AU88" s="1177"/>
      <c r="AV88" s="1176"/>
      <c r="AW88" s="1177"/>
      <c r="AX88" s="1176"/>
      <c r="AY88" s="1177"/>
      <c r="AZ88" s="1176"/>
      <c r="BA88" s="1178"/>
      <c r="BB88" s="1176"/>
      <c r="BC88" s="1176"/>
      <c r="BD88" s="1179"/>
      <c r="BE88" s="1179"/>
      <c r="BF88" s="1179"/>
      <c r="BG88" s="1177"/>
      <c r="BH88" s="1176"/>
      <c r="BI88" s="1177"/>
      <c r="BJ88" s="3772"/>
    </row>
    <row r="89" spans="1:881" s="1149" customFormat="1" ht="33" customHeight="1" x14ac:dyDescent="0.2">
      <c r="A89" s="3551"/>
      <c r="B89" s="3552"/>
      <c r="C89" s="3553"/>
      <c r="D89" s="3773"/>
      <c r="E89" s="3773"/>
      <c r="F89" s="3774"/>
      <c r="G89" s="1180">
        <v>11</v>
      </c>
      <c r="H89" s="1181" t="s">
        <v>923</v>
      </c>
      <c r="I89" s="1181"/>
      <c r="J89" s="1181"/>
      <c r="K89" s="4907"/>
      <c r="L89" s="1182"/>
      <c r="M89" s="1182"/>
      <c r="N89" s="1183"/>
      <c r="O89" s="1182"/>
      <c r="P89" s="1182"/>
      <c r="Q89" s="1182"/>
      <c r="R89" s="1182"/>
      <c r="S89" s="1182"/>
      <c r="T89" s="1182"/>
      <c r="U89" s="1182"/>
      <c r="V89" s="1182"/>
      <c r="W89" s="1182"/>
      <c r="X89" s="1183"/>
      <c r="Y89" s="1183"/>
      <c r="Z89" s="1182"/>
      <c r="AA89" s="1182"/>
      <c r="AB89" s="1182"/>
      <c r="AC89" s="1183"/>
      <c r="AD89" s="1182"/>
      <c r="AE89" s="1183"/>
      <c r="AF89" s="1182"/>
      <c r="AG89" s="1183"/>
      <c r="AH89" s="1182"/>
      <c r="AI89" s="1183"/>
      <c r="AJ89" s="1182"/>
      <c r="AK89" s="1183"/>
      <c r="AL89" s="1182"/>
      <c r="AM89" s="1183"/>
      <c r="AN89" s="1182"/>
      <c r="AO89" s="1183"/>
      <c r="AP89" s="1182"/>
      <c r="AQ89" s="1183"/>
      <c r="AR89" s="1182"/>
      <c r="AS89" s="1183"/>
      <c r="AT89" s="1182"/>
      <c r="AU89" s="1183"/>
      <c r="AV89" s="1182"/>
      <c r="AW89" s="1183"/>
      <c r="AX89" s="1182"/>
      <c r="AY89" s="1183"/>
      <c r="AZ89" s="1182"/>
      <c r="BA89" s="1184"/>
      <c r="BB89" s="1182"/>
      <c r="BC89" s="1182"/>
      <c r="BD89" s="1185"/>
      <c r="BE89" s="1185"/>
      <c r="BF89" s="1185"/>
      <c r="BG89" s="1183"/>
      <c r="BH89" s="1182"/>
      <c r="BI89" s="1183"/>
      <c r="BJ89" s="1186"/>
      <c r="BK89" s="1148"/>
      <c r="BL89" s="1148"/>
      <c r="BM89" s="1148"/>
      <c r="BN89" s="1148"/>
      <c r="BO89" s="1148"/>
      <c r="BP89" s="1148"/>
      <c r="BQ89" s="1148"/>
      <c r="BR89" s="1148"/>
      <c r="BS89" s="1148"/>
      <c r="BT89" s="1148"/>
      <c r="BU89" s="1148"/>
      <c r="BV89" s="1148"/>
      <c r="BW89" s="1148"/>
      <c r="BX89" s="1148"/>
      <c r="BY89" s="1148"/>
      <c r="BZ89" s="1148"/>
      <c r="CA89" s="1148"/>
      <c r="CB89" s="1148"/>
      <c r="CC89" s="1148"/>
      <c r="CD89" s="1148"/>
      <c r="CE89" s="1148"/>
      <c r="CF89" s="1148"/>
      <c r="CG89" s="1148"/>
      <c r="CH89" s="1148"/>
      <c r="CI89" s="1148"/>
      <c r="CJ89" s="1148"/>
      <c r="CK89" s="1148"/>
      <c r="CL89" s="1148"/>
      <c r="CM89" s="1148"/>
      <c r="CN89" s="1148"/>
      <c r="CO89" s="1148"/>
      <c r="CP89" s="1148"/>
      <c r="CQ89" s="1148"/>
      <c r="CR89" s="1148"/>
      <c r="CS89" s="1148"/>
      <c r="CT89" s="1148"/>
      <c r="CU89" s="1148"/>
      <c r="CV89" s="1148"/>
      <c r="CW89" s="1148"/>
      <c r="CX89" s="1148"/>
      <c r="CY89" s="1148"/>
      <c r="CZ89" s="1148"/>
      <c r="DA89" s="1148"/>
      <c r="DB89" s="1148"/>
      <c r="DC89" s="1148"/>
      <c r="DD89" s="1148"/>
      <c r="DE89" s="1148"/>
      <c r="DF89" s="1148"/>
      <c r="DG89" s="1148"/>
      <c r="DH89" s="1148"/>
      <c r="DI89" s="1148"/>
      <c r="DJ89" s="1148"/>
      <c r="DK89" s="1148"/>
      <c r="DL89" s="1148"/>
      <c r="DM89" s="1148"/>
      <c r="DN89" s="1148"/>
      <c r="DO89" s="1148"/>
      <c r="DP89" s="1148"/>
      <c r="DQ89" s="1148"/>
      <c r="DR89" s="1148"/>
      <c r="DS89" s="1148"/>
      <c r="DT89" s="1148"/>
      <c r="DU89" s="1148"/>
      <c r="DV89" s="1148"/>
      <c r="DW89" s="1148"/>
      <c r="DX89" s="1148"/>
      <c r="DY89" s="1148"/>
      <c r="DZ89" s="1148"/>
      <c r="EA89" s="1148"/>
      <c r="EB89" s="1148"/>
      <c r="EC89" s="1148"/>
      <c r="ED89" s="1148"/>
      <c r="EE89" s="1148"/>
      <c r="EF89" s="1148"/>
      <c r="EG89" s="1148"/>
      <c r="EH89" s="1148"/>
      <c r="EI89" s="1148"/>
      <c r="EJ89" s="1148"/>
      <c r="EK89" s="1148"/>
      <c r="EL89" s="1148"/>
      <c r="EM89" s="1148"/>
      <c r="EN89" s="1148"/>
      <c r="EO89" s="1148"/>
      <c r="EP89" s="1148"/>
      <c r="EQ89" s="1148"/>
      <c r="ER89" s="1148"/>
      <c r="ES89" s="1148"/>
      <c r="ET89" s="1148"/>
      <c r="EU89" s="1148"/>
      <c r="EV89" s="1148"/>
      <c r="EW89" s="1148"/>
      <c r="EX89" s="1148"/>
      <c r="EY89" s="1148"/>
      <c r="EZ89" s="1148"/>
      <c r="FA89" s="1148"/>
      <c r="FB89" s="1148"/>
      <c r="FC89" s="1148"/>
      <c r="FD89" s="1148"/>
      <c r="FE89" s="1148"/>
      <c r="FF89" s="1148"/>
      <c r="FG89" s="1148"/>
      <c r="FH89" s="1148"/>
      <c r="FI89" s="1148"/>
      <c r="FJ89" s="1148"/>
      <c r="FK89" s="1148"/>
      <c r="FL89" s="1148"/>
      <c r="FM89" s="1148"/>
      <c r="FN89" s="1148"/>
      <c r="FO89" s="1148"/>
      <c r="FP89" s="1148"/>
      <c r="FQ89" s="1148"/>
      <c r="FR89" s="1148"/>
      <c r="FS89" s="1148"/>
      <c r="FT89" s="1148"/>
      <c r="FU89" s="1148"/>
      <c r="FV89" s="1148"/>
      <c r="FW89" s="1148"/>
      <c r="FX89" s="1148"/>
      <c r="FY89" s="1148"/>
      <c r="FZ89" s="1148"/>
      <c r="GA89" s="1148"/>
      <c r="GB89" s="1148"/>
      <c r="GC89" s="1148"/>
      <c r="GD89" s="1148"/>
      <c r="GE89" s="1148"/>
      <c r="GF89" s="1148"/>
      <c r="GG89" s="1148"/>
      <c r="GH89" s="1148"/>
      <c r="GI89" s="1148"/>
      <c r="GJ89" s="1148"/>
      <c r="GK89" s="1148"/>
      <c r="GL89" s="1148"/>
      <c r="GM89" s="1148"/>
      <c r="GN89" s="1148"/>
      <c r="GO89" s="1148"/>
      <c r="GP89" s="1148"/>
      <c r="GQ89" s="1148"/>
      <c r="GR89" s="1148"/>
      <c r="GS89" s="1148"/>
      <c r="GT89" s="1148"/>
      <c r="GU89" s="1148"/>
      <c r="GV89" s="1148"/>
      <c r="GW89" s="1148"/>
      <c r="GX89" s="1148"/>
      <c r="GY89" s="1148"/>
      <c r="GZ89" s="1148"/>
      <c r="HA89" s="1148"/>
      <c r="HB89" s="1148"/>
      <c r="HC89" s="1148"/>
      <c r="HD89" s="1148"/>
      <c r="HE89" s="1148"/>
      <c r="HF89" s="1148"/>
      <c r="HG89" s="1148"/>
      <c r="HH89" s="1148"/>
      <c r="HI89" s="1148"/>
      <c r="HJ89" s="1148"/>
      <c r="HK89" s="1148"/>
      <c r="HL89" s="1148"/>
      <c r="HM89" s="1148"/>
      <c r="HN89" s="1148"/>
      <c r="HO89" s="1148"/>
      <c r="HP89" s="1148"/>
      <c r="HQ89" s="1148"/>
      <c r="HR89" s="1148"/>
      <c r="HS89" s="1148"/>
      <c r="HT89" s="1148"/>
      <c r="HU89" s="1148"/>
      <c r="HV89" s="1148"/>
      <c r="HW89" s="1148"/>
      <c r="HX89" s="1148"/>
      <c r="HY89" s="1148"/>
      <c r="HZ89" s="1148"/>
      <c r="IA89" s="1148"/>
      <c r="IB89" s="1148"/>
      <c r="IC89" s="1148"/>
      <c r="ID89" s="1148"/>
      <c r="IE89" s="1148"/>
      <c r="IF89" s="1148"/>
      <c r="IG89" s="1148"/>
      <c r="IH89" s="1148"/>
      <c r="II89" s="1148"/>
      <c r="IJ89" s="1148"/>
      <c r="IK89" s="1148"/>
      <c r="IL89" s="1148"/>
      <c r="IM89" s="1148"/>
      <c r="IN89" s="1148"/>
      <c r="IO89" s="1148"/>
      <c r="IP89" s="1148"/>
      <c r="IQ89" s="1148"/>
      <c r="IR89" s="1148"/>
      <c r="IS89" s="1148"/>
      <c r="IT89" s="1148"/>
      <c r="IU89" s="1148"/>
      <c r="IV89" s="1148"/>
      <c r="IW89" s="1148"/>
      <c r="IX89" s="1148"/>
      <c r="IY89" s="1148"/>
      <c r="IZ89" s="1148"/>
      <c r="JA89" s="1148"/>
      <c r="JB89" s="1148"/>
      <c r="JC89" s="1148"/>
      <c r="JD89" s="1148"/>
      <c r="JE89" s="1148"/>
      <c r="JF89" s="1148"/>
      <c r="JG89" s="1148"/>
      <c r="JH89" s="1148"/>
      <c r="JI89" s="1148"/>
      <c r="JJ89" s="1148"/>
      <c r="JK89" s="1148"/>
      <c r="JL89" s="1148"/>
      <c r="JM89" s="1148"/>
      <c r="JN89" s="1148"/>
      <c r="JO89" s="1148"/>
      <c r="JP89" s="1148"/>
      <c r="JQ89" s="1148"/>
      <c r="JR89" s="1148"/>
      <c r="JS89" s="1148"/>
      <c r="JT89" s="1148"/>
      <c r="JU89" s="1148"/>
      <c r="JV89" s="1148"/>
      <c r="JW89" s="1148"/>
      <c r="JX89" s="1148"/>
      <c r="JY89" s="1148"/>
      <c r="JZ89" s="1148"/>
      <c r="KA89" s="1148"/>
      <c r="KB89" s="1148"/>
      <c r="KC89" s="1148"/>
      <c r="KD89" s="1148"/>
      <c r="KE89" s="1148"/>
      <c r="KF89" s="1148"/>
      <c r="KG89" s="1148"/>
      <c r="KH89" s="1148"/>
      <c r="KI89" s="1148"/>
      <c r="KJ89" s="1148"/>
      <c r="KK89" s="1148"/>
      <c r="KL89" s="1148"/>
      <c r="KM89" s="1148"/>
      <c r="KN89" s="1148"/>
      <c r="KO89" s="1148"/>
      <c r="KP89" s="1148"/>
      <c r="KQ89" s="1148"/>
      <c r="KR89" s="1148"/>
      <c r="KS89" s="1148"/>
      <c r="KT89" s="1148"/>
      <c r="KU89" s="1148"/>
      <c r="KV89" s="1148"/>
      <c r="KW89" s="1148"/>
      <c r="KX89" s="1148"/>
      <c r="KY89" s="1148"/>
      <c r="KZ89" s="1148"/>
      <c r="LA89" s="1148"/>
      <c r="LB89" s="1148"/>
      <c r="LC89" s="1148"/>
      <c r="LD89" s="1148"/>
      <c r="LE89" s="1148"/>
      <c r="LF89" s="1148"/>
      <c r="LG89" s="1148"/>
      <c r="LH89" s="1148"/>
      <c r="LI89" s="1148"/>
      <c r="LJ89" s="1148"/>
      <c r="LK89" s="1148"/>
      <c r="LL89" s="1148"/>
      <c r="LM89" s="1148"/>
      <c r="LN89" s="1148"/>
      <c r="LO89" s="1148"/>
      <c r="LP89" s="1148"/>
      <c r="LQ89" s="1148"/>
      <c r="LR89" s="1148"/>
      <c r="LS89" s="1148"/>
      <c r="LT89" s="1148"/>
      <c r="LU89" s="1148"/>
      <c r="LV89" s="1148"/>
      <c r="LW89" s="1148"/>
      <c r="LX89" s="1148"/>
      <c r="LY89" s="1148"/>
      <c r="LZ89" s="1148"/>
      <c r="MA89" s="1148"/>
      <c r="MB89" s="1148"/>
      <c r="MC89" s="1148"/>
      <c r="MD89" s="1148"/>
      <c r="ME89" s="1148"/>
      <c r="MF89" s="1148"/>
      <c r="MG89" s="1148"/>
      <c r="MH89" s="1148"/>
      <c r="MI89" s="1148"/>
      <c r="MJ89" s="1148"/>
      <c r="MK89" s="1148"/>
      <c r="ML89" s="1148"/>
      <c r="MM89" s="1148"/>
      <c r="MN89" s="1148"/>
      <c r="MO89" s="1148"/>
      <c r="MP89" s="1148"/>
      <c r="MQ89" s="1148"/>
      <c r="MR89" s="1148"/>
      <c r="MS89" s="1148"/>
      <c r="MT89" s="1148"/>
      <c r="MU89" s="1148"/>
      <c r="MV89" s="1148"/>
      <c r="MW89" s="1148"/>
      <c r="MX89" s="1148"/>
      <c r="MY89" s="1148"/>
      <c r="MZ89" s="1148"/>
      <c r="NA89" s="1148"/>
      <c r="NB89" s="1148"/>
      <c r="NC89" s="1148"/>
      <c r="ND89" s="1148"/>
      <c r="NE89" s="1148"/>
      <c r="NF89" s="1148"/>
      <c r="NG89" s="1148"/>
      <c r="NH89" s="1148"/>
      <c r="NI89" s="1148"/>
      <c r="NJ89" s="1148"/>
      <c r="NK89" s="1148"/>
      <c r="NL89" s="1148"/>
      <c r="NM89" s="1148"/>
      <c r="NN89" s="1148"/>
      <c r="NO89" s="1148"/>
      <c r="NP89" s="1148"/>
      <c r="NQ89" s="1148"/>
      <c r="NR89" s="1148"/>
      <c r="NS89" s="1148"/>
      <c r="NT89" s="1148"/>
      <c r="NU89" s="1148"/>
      <c r="NV89" s="1148"/>
      <c r="NW89" s="1148"/>
      <c r="NX89" s="1148"/>
      <c r="NY89" s="1148"/>
      <c r="NZ89" s="1148"/>
      <c r="OA89" s="1148"/>
      <c r="OB89" s="1148"/>
      <c r="OC89" s="1148"/>
      <c r="OD89" s="1148"/>
      <c r="OE89" s="1148"/>
      <c r="OF89" s="1148"/>
      <c r="OG89" s="1148"/>
      <c r="OH89" s="1148"/>
      <c r="OI89" s="1148"/>
      <c r="OJ89" s="1148"/>
      <c r="OK89" s="1148"/>
      <c r="OL89" s="1148"/>
      <c r="OM89" s="1148"/>
      <c r="ON89" s="1148"/>
      <c r="OO89" s="1148"/>
      <c r="OP89" s="1148"/>
      <c r="OQ89" s="1148"/>
      <c r="OR89" s="1148"/>
      <c r="OS89" s="1148"/>
      <c r="OT89" s="1148"/>
      <c r="OU89" s="1148"/>
      <c r="OV89" s="1148"/>
      <c r="OW89" s="1148"/>
      <c r="OX89" s="1148"/>
      <c r="OY89" s="1148"/>
      <c r="OZ89" s="1148"/>
      <c r="PA89" s="1148"/>
      <c r="PB89" s="1148"/>
      <c r="PC89" s="1148"/>
      <c r="PD89" s="1148"/>
      <c r="PE89" s="1148"/>
      <c r="PF89" s="1148"/>
      <c r="PG89" s="1148"/>
      <c r="PH89" s="1148"/>
      <c r="PI89" s="1148"/>
      <c r="PJ89" s="1148"/>
      <c r="PK89" s="1148"/>
      <c r="PL89" s="1148"/>
      <c r="PM89" s="1148"/>
      <c r="PN89" s="1148"/>
      <c r="PO89" s="1148"/>
      <c r="PP89" s="1148"/>
      <c r="PQ89" s="1148"/>
      <c r="PR89" s="1148"/>
      <c r="PS89" s="1148"/>
      <c r="PT89" s="1148"/>
      <c r="PU89" s="1148"/>
      <c r="PV89" s="1148"/>
      <c r="PW89" s="1148"/>
      <c r="PX89" s="1148"/>
      <c r="PY89" s="1148"/>
      <c r="PZ89" s="1148"/>
      <c r="QA89" s="1148"/>
      <c r="QB89" s="1148"/>
      <c r="QC89" s="1148"/>
      <c r="QD89" s="1148"/>
      <c r="QE89" s="1148"/>
      <c r="QF89" s="1148"/>
      <c r="QG89" s="1148"/>
      <c r="QH89" s="1148"/>
      <c r="QI89" s="1148"/>
      <c r="QJ89" s="1148"/>
      <c r="QK89" s="1148"/>
      <c r="QL89" s="1148"/>
      <c r="QM89" s="1148"/>
      <c r="QN89" s="1148"/>
      <c r="QO89" s="1148"/>
      <c r="QP89" s="1148"/>
      <c r="QQ89" s="1148"/>
      <c r="QR89" s="1148"/>
      <c r="QS89" s="1148"/>
      <c r="QT89" s="1148"/>
      <c r="QU89" s="1148"/>
      <c r="QV89" s="1148"/>
      <c r="QW89" s="1148"/>
      <c r="QX89" s="1148"/>
      <c r="QY89" s="1148"/>
      <c r="QZ89" s="1148"/>
      <c r="RA89" s="1148"/>
      <c r="RB89" s="1148"/>
      <c r="RC89" s="1148"/>
      <c r="RD89" s="1148"/>
      <c r="RE89" s="1148"/>
      <c r="RF89" s="1148"/>
      <c r="RG89" s="1148"/>
      <c r="RH89" s="1148"/>
      <c r="RI89" s="1148"/>
      <c r="RJ89" s="1148"/>
      <c r="RK89" s="1148"/>
      <c r="RL89" s="1148"/>
      <c r="RM89" s="1148"/>
      <c r="RN89" s="1148"/>
      <c r="RO89" s="1148"/>
      <c r="RP89" s="1148"/>
      <c r="RQ89" s="1148"/>
      <c r="RR89" s="1148"/>
      <c r="RS89" s="1148"/>
      <c r="RT89" s="1148"/>
      <c r="RU89" s="1148"/>
      <c r="RV89" s="1148"/>
      <c r="RW89" s="1148"/>
      <c r="RX89" s="1148"/>
      <c r="RY89" s="1148"/>
      <c r="RZ89" s="1148"/>
      <c r="SA89" s="1148"/>
      <c r="SB89" s="1148"/>
      <c r="SC89" s="1148"/>
      <c r="SD89" s="1148"/>
      <c r="SE89" s="1148"/>
      <c r="SF89" s="1148"/>
      <c r="SG89" s="1148"/>
      <c r="SH89" s="1148"/>
      <c r="SI89" s="1148"/>
      <c r="SJ89" s="1148"/>
      <c r="SK89" s="1148"/>
      <c r="SL89" s="1148"/>
      <c r="SM89" s="1148"/>
      <c r="SN89" s="1148"/>
      <c r="SO89" s="1148"/>
      <c r="SP89" s="1148"/>
      <c r="SQ89" s="1148"/>
      <c r="SR89" s="1148"/>
      <c r="SS89" s="1148"/>
      <c r="ST89" s="1148"/>
      <c r="SU89" s="1148"/>
      <c r="SV89" s="1148"/>
      <c r="SW89" s="1148"/>
      <c r="SX89" s="1148"/>
      <c r="SY89" s="1148"/>
      <c r="SZ89" s="1148"/>
      <c r="TA89" s="1148"/>
      <c r="TB89" s="1148"/>
      <c r="TC89" s="1148"/>
      <c r="TD89" s="1148"/>
      <c r="TE89" s="1148"/>
      <c r="TF89" s="1148"/>
      <c r="TG89" s="1148"/>
      <c r="TH89" s="1148"/>
      <c r="TI89" s="1148"/>
      <c r="TJ89" s="1148"/>
      <c r="TK89" s="1148"/>
      <c r="TL89" s="1148"/>
      <c r="TM89" s="1148"/>
      <c r="TN89" s="1148"/>
      <c r="TO89" s="1148"/>
      <c r="TP89" s="1148"/>
      <c r="TQ89" s="1148"/>
      <c r="TR89" s="1148"/>
      <c r="TS89" s="1148"/>
      <c r="TT89" s="1148"/>
      <c r="TU89" s="1148"/>
      <c r="TV89" s="1148"/>
      <c r="TW89" s="1148"/>
      <c r="TX89" s="1148"/>
      <c r="TY89" s="1148"/>
      <c r="TZ89" s="1148"/>
      <c r="UA89" s="1148"/>
      <c r="UB89" s="1148"/>
      <c r="UC89" s="1148"/>
      <c r="UD89" s="1148"/>
      <c r="UE89" s="1148"/>
      <c r="UF89" s="1148"/>
      <c r="UG89" s="1148"/>
      <c r="UH89" s="1148"/>
      <c r="UI89" s="1148"/>
      <c r="UJ89" s="1148"/>
      <c r="UK89" s="1148"/>
      <c r="UL89" s="1148"/>
      <c r="UM89" s="1148"/>
      <c r="UN89" s="1148"/>
      <c r="UO89" s="1148"/>
      <c r="UP89" s="1148"/>
      <c r="UQ89" s="1148"/>
      <c r="UR89" s="1148"/>
      <c r="US89" s="1148"/>
      <c r="UT89" s="1148"/>
      <c r="UU89" s="1148"/>
      <c r="UV89" s="1148"/>
      <c r="UW89" s="1148"/>
      <c r="UX89" s="1148"/>
      <c r="UY89" s="1148"/>
      <c r="UZ89" s="1148"/>
      <c r="VA89" s="1148"/>
      <c r="VB89" s="1148"/>
      <c r="VC89" s="1148"/>
      <c r="VD89" s="1148"/>
      <c r="VE89" s="1148"/>
      <c r="VF89" s="1148"/>
      <c r="VG89" s="1148"/>
      <c r="VH89" s="1148"/>
      <c r="VI89" s="1148"/>
      <c r="VJ89" s="1148"/>
      <c r="VK89" s="1148"/>
      <c r="VL89" s="1148"/>
      <c r="VM89" s="1148"/>
      <c r="VN89" s="1148"/>
      <c r="VO89" s="1148"/>
      <c r="VP89" s="1148"/>
      <c r="VQ89" s="1148"/>
      <c r="VR89" s="1148"/>
      <c r="VS89" s="1148"/>
      <c r="VT89" s="1148"/>
      <c r="VU89" s="1148"/>
      <c r="VV89" s="1148"/>
      <c r="VW89" s="1148"/>
      <c r="VX89" s="1148"/>
      <c r="VY89" s="1148"/>
      <c r="VZ89" s="1148"/>
      <c r="WA89" s="1148"/>
      <c r="WB89" s="1148"/>
      <c r="WC89" s="1148"/>
      <c r="WD89" s="1148"/>
      <c r="WE89" s="1148"/>
      <c r="WF89" s="1148"/>
      <c r="WG89" s="1148"/>
      <c r="WH89" s="1148"/>
      <c r="WI89" s="1148"/>
      <c r="WJ89" s="1148"/>
      <c r="WK89" s="1148"/>
      <c r="WL89" s="1148"/>
      <c r="WM89" s="1148"/>
      <c r="WN89" s="1148"/>
      <c r="WO89" s="1148"/>
      <c r="WP89" s="1148"/>
      <c r="WQ89" s="1148"/>
      <c r="WR89" s="1148"/>
      <c r="WS89" s="1148"/>
      <c r="WT89" s="1148"/>
      <c r="WU89" s="1148"/>
      <c r="WV89" s="1148"/>
      <c r="WW89" s="1148"/>
      <c r="WX89" s="1148"/>
      <c r="WY89" s="1148"/>
      <c r="WZ89" s="1148"/>
      <c r="XA89" s="1148"/>
      <c r="XB89" s="1148"/>
      <c r="XC89" s="1148"/>
      <c r="XD89" s="1148"/>
      <c r="XE89" s="1148"/>
      <c r="XF89" s="1148"/>
      <c r="XG89" s="1148"/>
      <c r="XH89" s="1148"/>
      <c r="XI89" s="1148"/>
      <c r="XJ89" s="1148"/>
      <c r="XK89" s="1148"/>
      <c r="XL89" s="1148"/>
      <c r="XM89" s="1148"/>
      <c r="XN89" s="1148"/>
      <c r="XO89" s="1148"/>
      <c r="XP89" s="1148"/>
      <c r="XQ89" s="1148"/>
      <c r="XR89" s="1148"/>
      <c r="XS89" s="1148"/>
      <c r="XT89" s="1148"/>
      <c r="XU89" s="1148"/>
      <c r="XV89" s="1148"/>
      <c r="XW89" s="1148"/>
      <c r="XX89" s="1148"/>
      <c r="XY89" s="1148"/>
      <c r="XZ89" s="1148"/>
      <c r="YA89" s="1148"/>
      <c r="YB89" s="1148"/>
      <c r="YC89" s="1148"/>
      <c r="YD89" s="1148"/>
      <c r="YE89" s="1148"/>
      <c r="YF89" s="1148"/>
      <c r="YG89" s="1148"/>
      <c r="YH89" s="1148"/>
      <c r="YI89" s="1148"/>
      <c r="YJ89" s="1148"/>
      <c r="YK89" s="1148"/>
      <c r="YL89" s="1148"/>
      <c r="YM89" s="1148"/>
      <c r="YN89" s="1148"/>
      <c r="YO89" s="1148"/>
      <c r="YP89" s="1148"/>
      <c r="YQ89" s="1148"/>
      <c r="YR89" s="1148"/>
      <c r="YS89" s="1148"/>
      <c r="YT89" s="1148"/>
      <c r="YU89" s="1148"/>
      <c r="YV89" s="1148"/>
      <c r="YW89" s="1148"/>
      <c r="YX89" s="1148"/>
      <c r="YY89" s="1148"/>
      <c r="YZ89" s="1148"/>
      <c r="ZA89" s="1148"/>
      <c r="ZB89" s="1148"/>
      <c r="ZC89" s="1148"/>
      <c r="ZD89" s="1148"/>
      <c r="ZE89" s="1148"/>
      <c r="ZF89" s="1148"/>
      <c r="ZG89" s="1148"/>
      <c r="ZH89" s="1148"/>
      <c r="ZI89" s="1148"/>
      <c r="ZJ89" s="1148"/>
      <c r="ZK89" s="1148"/>
      <c r="ZL89" s="1148"/>
      <c r="ZM89" s="1148"/>
      <c r="ZN89" s="1148"/>
      <c r="ZO89" s="1148"/>
      <c r="ZP89" s="1148"/>
      <c r="ZQ89" s="1148"/>
      <c r="ZR89" s="1148"/>
      <c r="ZS89" s="1148"/>
      <c r="ZT89" s="1148"/>
      <c r="ZU89" s="1148"/>
      <c r="ZV89" s="1148"/>
      <c r="ZW89" s="1148"/>
      <c r="ZX89" s="1148"/>
      <c r="ZY89" s="1148"/>
      <c r="ZZ89" s="1148"/>
      <c r="AAA89" s="1148"/>
      <c r="AAB89" s="1148"/>
      <c r="AAC89" s="1148"/>
      <c r="AAD89" s="1148"/>
      <c r="AAE89" s="1148"/>
      <c r="AAF89" s="1148"/>
      <c r="AAG89" s="1148"/>
      <c r="AAH89" s="1148"/>
      <c r="AAI89" s="1148"/>
      <c r="AAJ89" s="1148"/>
      <c r="AAK89" s="1148"/>
      <c r="AAL89" s="1148"/>
      <c r="AAM89" s="1148"/>
      <c r="AAN89" s="1148"/>
      <c r="AAO89" s="1148"/>
      <c r="AAP89" s="1148"/>
      <c r="AAQ89" s="1148"/>
      <c r="AAR89" s="1148"/>
      <c r="AAS89" s="1148"/>
      <c r="AAT89" s="1148"/>
      <c r="AAU89" s="1148"/>
      <c r="AAV89" s="1148"/>
      <c r="AAW89" s="1148"/>
      <c r="AAX89" s="1148"/>
      <c r="AAY89" s="1148"/>
      <c r="AAZ89" s="1148"/>
      <c r="ABA89" s="1148"/>
      <c r="ABB89" s="1148"/>
      <c r="ABC89" s="1148"/>
      <c r="ABD89" s="1148"/>
      <c r="ABE89" s="1148"/>
      <c r="ABF89" s="1148"/>
      <c r="ABG89" s="1148"/>
      <c r="ABH89" s="1148"/>
      <c r="ABI89" s="1148"/>
      <c r="ABJ89" s="1148"/>
      <c r="ABK89" s="1148"/>
      <c r="ABL89" s="1148"/>
      <c r="ABM89" s="1148"/>
      <c r="ABN89" s="1148"/>
      <c r="ABO89" s="1148"/>
      <c r="ABP89" s="1148"/>
      <c r="ABQ89" s="1148"/>
      <c r="ABR89" s="1148"/>
      <c r="ABS89" s="1148"/>
      <c r="ABT89" s="1148"/>
      <c r="ABU89" s="1148"/>
      <c r="ABV89" s="1148"/>
      <c r="ABW89" s="1148"/>
      <c r="ABX89" s="1148"/>
      <c r="ABY89" s="1148"/>
      <c r="ABZ89" s="1148"/>
      <c r="ACA89" s="1148"/>
      <c r="ACB89" s="1148"/>
      <c r="ACC89" s="1148"/>
      <c r="ACD89" s="1148"/>
      <c r="ACE89" s="1148"/>
      <c r="ACF89" s="1148"/>
      <c r="ACG89" s="1148"/>
      <c r="ACH89" s="1148"/>
      <c r="ACI89" s="1148"/>
      <c r="ACJ89" s="1148"/>
      <c r="ACK89" s="1148"/>
      <c r="ACL89" s="1148"/>
      <c r="ACM89" s="1148"/>
      <c r="ACN89" s="1148"/>
      <c r="ACO89" s="1148"/>
      <c r="ACP89" s="1148"/>
      <c r="ACQ89" s="1148"/>
      <c r="ACR89" s="1148"/>
      <c r="ACS89" s="1148"/>
      <c r="ACT89" s="1148"/>
      <c r="ACU89" s="1148"/>
      <c r="ACV89" s="1148"/>
      <c r="ACW89" s="1148"/>
      <c r="ACX89" s="1148"/>
      <c r="ACY89" s="1148"/>
      <c r="ACZ89" s="1148"/>
      <c r="ADA89" s="1148"/>
      <c r="ADB89" s="1148"/>
      <c r="ADC89" s="1148"/>
      <c r="ADD89" s="1148"/>
      <c r="ADE89" s="1148"/>
      <c r="ADF89" s="1148"/>
      <c r="ADG89" s="1148"/>
      <c r="ADH89" s="1148"/>
      <c r="ADI89" s="1148"/>
      <c r="ADJ89" s="1148"/>
      <c r="ADK89" s="1148"/>
      <c r="ADL89" s="1148"/>
      <c r="ADM89" s="1148"/>
      <c r="ADN89" s="1148"/>
      <c r="ADO89" s="1148"/>
      <c r="ADP89" s="1148"/>
      <c r="ADQ89" s="1148"/>
      <c r="ADR89" s="1148"/>
      <c r="ADS89" s="1148"/>
      <c r="ADT89" s="1148"/>
      <c r="ADU89" s="1148"/>
      <c r="ADV89" s="1148"/>
      <c r="ADW89" s="1148"/>
      <c r="ADX89" s="1148"/>
      <c r="ADY89" s="1148"/>
      <c r="ADZ89" s="1148"/>
      <c r="AEA89" s="1148"/>
      <c r="AEB89" s="1148"/>
      <c r="AEC89" s="1148"/>
      <c r="AED89" s="1148"/>
      <c r="AEE89" s="1148"/>
      <c r="AEF89" s="1148"/>
      <c r="AEG89" s="1148"/>
      <c r="AEH89" s="1148"/>
      <c r="AEI89" s="1148"/>
      <c r="AEJ89" s="1148"/>
      <c r="AEK89" s="1148"/>
      <c r="AEL89" s="1148"/>
      <c r="AEM89" s="1148"/>
      <c r="AEN89" s="1148"/>
      <c r="AEO89" s="1148"/>
      <c r="AEP89" s="1148"/>
      <c r="AEQ89" s="1148"/>
      <c r="AER89" s="1148"/>
      <c r="AES89" s="1148"/>
      <c r="AET89" s="1148"/>
      <c r="AEU89" s="1148"/>
      <c r="AEV89" s="1148"/>
      <c r="AEW89" s="1148"/>
      <c r="AEX89" s="1148"/>
      <c r="AEY89" s="1148"/>
      <c r="AEZ89" s="1148"/>
      <c r="AFA89" s="1148"/>
      <c r="AFB89" s="1148"/>
      <c r="AFC89" s="1148"/>
      <c r="AFD89" s="1148"/>
      <c r="AFE89" s="1148"/>
      <c r="AFF89" s="1148"/>
      <c r="AFG89" s="1148"/>
      <c r="AFH89" s="1148"/>
      <c r="AFI89" s="1148"/>
      <c r="AFJ89" s="1148"/>
      <c r="AFK89" s="1148"/>
      <c r="AFL89" s="1148"/>
      <c r="AFM89" s="1148"/>
      <c r="AFN89" s="1148"/>
      <c r="AFO89" s="1148"/>
      <c r="AFP89" s="1148"/>
      <c r="AFQ89" s="1148"/>
      <c r="AFR89" s="1148"/>
      <c r="AFS89" s="1148"/>
      <c r="AFT89" s="1148"/>
      <c r="AFU89" s="1148"/>
      <c r="AFV89" s="1148"/>
      <c r="AFW89" s="1148"/>
      <c r="AFX89" s="1148"/>
      <c r="AFY89" s="1148"/>
      <c r="AFZ89" s="1148"/>
      <c r="AGA89" s="1148"/>
      <c r="AGB89" s="1148"/>
      <c r="AGC89" s="1148"/>
      <c r="AGD89" s="1148"/>
      <c r="AGE89" s="1148"/>
      <c r="AGF89" s="1148"/>
      <c r="AGG89" s="1148"/>
      <c r="AGH89" s="1148"/>
      <c r="AGI89" s="1148"/>
      <c r="AGJ89" s="1148"/>
      <c r="AGK89" s="1148"/>
      <c r="AGL89" s="1148"/>
      <c r="AGM89" s="1148"/>
      <c r="AGN89" s="1148"/>
      <c r="AGO89" s="1148"/>
      <c r="AGP89" s="1148"/>
      <c r="AGQ89" s="1148"/>
      <c r="AGR89" s="1148"/>
      <c r="AGS89" s="1148"/>
      <c r="AGT89" s="1148"/>
      <c r="AGU89" s="1148"/>
      <c r="AGV89" s="1148"/>
      <c r="AGW89" s="1148"/>
    </row>
    <row r="90" spans="1:881" s="1195" customFormat="1" ht="93.75" customHeight="1" x14ac:dyDescent="0.2">
      <c r="A90" s="3551"/>
      <c r="B90" s="3552"/>
      <c r="C90" s="3553"/>
      <c r="D90" s="3775"/>
      <c r="E90" s="3775"/>
      <c r="F90" s="3776"/>
      <c r="G90" s="1187"/>
      <c r="H90" s="1187"/>
      <c r="I90" s="1187"/>
      <c r="J90" s="2329">
        <v>50</v>
      </c>
      <c r="K90" s="2573" t="s">
        <v>924</v>
      </c>
      <c r="L90" s="2332" t="s">
        <v>19</v>
      </c>
      <c r="M90" s="2329">
        <v>2</v>
      </c>
      <c r="N90" s="2348">
        <v>2</v>
      </c>
      <c r="O90" s="1188" t="s">
        <v>925</v>
      </c>
      <c r="P90" s="2335">
        <v>57</v>
      </c>
      <c r="Q90" s="2331" t="s">
        <v>926</v>
      </c>
      <c r="R90" s="1189">
        <v>1</v>
      </c>
      <c r="S90" s="2353">
        <v>5000000</v>
      </c>
      <c r="T90" s="2331" t="s">
        <v>927</v>
      </c>
      <c r="U90" s="2331" t="s">
        <v>928</v>
      </c>
      <c r="V90" s="2332" t="s">
        <v>929</v>
      </c>
      <c r="W90" s="2353">
        <v>5000000</v>
      </c>
      <c r="X90" s="2354">
        <v>5000000</v>
      </c>
      <c r="Y90" s="2354">
        <v>5000000</v>
      </c>
      <c r="Z90" s="2335">
        <v>20</v>
      </c>
      <c r="AA90" s="2332" t="s">
        <v>130</v>
      </c>
      <c r="AB90" s="2326">
        <v>37199</v>
      </c>
      <c r="AC90" s="2327">
        <f>+AB90/$W$90*$Y$90</f>
        <v>37199</v>
      </c>
      <c r="AD90" s="2326">
        <v>98821</v>
      </c>
      <c r="AE90" s="2327">
        <f>+AD90/$W$90*$Y$90</f>
        <v>98821</v>
      </c>
      <c r="AF90" s="2326">
        <v>50922</v>
      </c>
      <c r="AG90" s="2327">
        <f>+AF90/$W$90*$Y$90</f>
        <v>50922</v>
      </c>
      <c r="AH90" s="2326">
        <v>151591</v>
      </c>
      <c r="AI90" s="2327">
        <f>+AH90/$W$90*$Y$90</f>
        <v>151591</v>
      </c>
      <c r="AJ90" s="2326">
        <v>151591</v>
      </c>
      <c r="AK90" s="2327">
        <f>+AJ90/$W$90*$Y$90</f>
        <v>151591</v>
      </c>
      <c r="AL90" s="2326">
        <v>71991</v>
      </c>
      <c r="AM90" s="2327">
        <f>+AL90/$W$90*$Y$90</f>
        <v>71991</v>
      </c>
      <c r="AN90" s="2326">
        <v>12718</v>
      </c>
      <c r="AO90" s="2327">
        <f>+AN90/$W$90*$Y$90</f>
        <v>12718</v>
      </c>
      <c r="AP90" s="2326">
        <v>2145</v>
      </c>
      <c r="AQ90" s="2327">
        <f>+AP90/$W$90*$Y$90</f>
        <v>2145</v>
      </c>
      <c r="AR90" s="1190"/>
      <c r="AS90" s="1191"/>
      <c r="AT90" s="1190"/>
      <c r="AU90" s="1191"/>
      <c r="AV90" s="2326">
        <v>41543</v>
      </c>
      <c r="AW90" s="2327">
        <f>+AV90/$W$90*$Y$90</f>
        <v>41543</v>
      </c>
      <c r="AX90" s="1190"/>
      <c r="AY90" s="1191"/>
      <c r="AZ90" s="1190" t="s">
        <v>930</v>
      </c>
      <c r="BA90" s="2328">
        <v>5000000</v>
      </c>
      <c r="BB90" s="2328">
        <v>5000000</v>
      </c>
      <c r="BC90" s="2329">
        <v>100</v>
      </c>
      <c r="BD90" s="2329" t="s">
        <v>165</v>
      </c>
      <c r="BE90" s="2329" t="s">
        <v>931</v>
      </c>
      <c r="BF90" s="1192">
        <v>42447</v>
      </c>
      <c r="BG90" s="1193">
        <v>42447</v>
      </c>
      <c r="BH90" s="1192">
        <v>42476</v>
      </c>
      <c r="BI90" s="1194">
        <v>42476</v>
      </c>
      <c r="BJ90" s="3779" t="s">
        <v>821</v>
      </c>
      <c r="BK90" s="1148"/>
      <c r="BL90" s="1148"/>
      <c r="BM90" s="1148"/>
      <c r="BN90" s="1148"/>
      <c r="BO90" s="1148"/>
      <c r="BP90" s="1148"/>
      <c r="BQ90" s="1148"/>
      <c r="BR90" s="1148"/>
      <c r="BS90" s="1148"/>
      <c r="BT90" s="1148"/>
      <c r="BU90" s="1148"/>
      <c r="BV90" s="1148"/>
      <c r="BW90" s="1148"/>
      <c r="BX90" s="1148"/>
      <c r="BY90" s="1148"/>
      <c r="BZ90" s="1148"/>
      <c r="CA90" s="1148"/>
      <c r="CB90" s="1148"/>
      <c r="CC90" s="1148"/>
      <c r="CD90" s="1148"/>
      <c r="CE90" s="1148"/>
      <c r="CF90" s="1148"/>
      <c r="CG90" s="1148"/>
      <c r="CH90" s="1148"/>
      <c r="CI90" s="1148"/>
      <c r="CJ90" s="1148"/>
      <c r="CK90" s="1148"/>
      <c r="CL90" s="1148"/>
      <c r="CM90" s="1148"/>
      <c r="CN90" s="1148"/>
      <c r="CO90" s="1148"/>
      <c r="CP90" s="1148"/>
      <c r="CQ90" s="1148"/>
      <c r="CR90" s="1148"/>
      <c r="CS90" s="1148"/>
      <c r="CT90" s="1148"/>
      <c r="CU90" s="1148"/>
      <c r="CV90" s="1148"/>
      <c r="CW90" s="1148"/>
      <c r="CX90" s="1148"/>
      <c r="CY90" s="1148"/>
      <c r="CZ90" s="1148"/>
      <c r="DA90" s="1148"/>
      <c r="DB90" s="1148"/>
      <c r="DC90" s="1148"/>
      <c r="DD90" s="1148"/>
      <c r="DE90" s="1148"/>
      <c r="DF90" s="1148"/>
      <c r="DG90" s="1148"/>
      <c r="DH90" s="1148"/>
      <c r="DI90" s="1148"/>
      <c r="DJ90" s="1148"/>
      <c r="DK90" s="1148"/>
      <c r="DL90" s="1148"/>
      <c r="DM90" s="1148"/>
      <c r="DN90" s="1148"/>
      <c r="DO90" s="1148"/>
      <c r="DP90" s="1148"/>
      <c r="DQ90" s="1148"/>
      <c r="DR90" s="1148"/>
      <c r="DS90" s="1148"/>
      <c r="DT90" s="1148"/>
      <c r="DU90" s="1148"/>
      <c r="DV90" s="1148"/>
      <c r="DW90" s="1148"/>
      <c r="DX90" s="1148"/>
      <c r="DY90" s="1148"/>
      <c r="DZ90" s="1148"/>
      <c r="EA90" s="1148"/>
      <c r="EB90" s="1148"/>
      <c r="EC90" s="1148"/>
      <c r="ED90" s="1148"/>
      <c r="EE90" s="1148"/>
      <c r="EF90" s="1148"/>
      <c r="EG90" s="1148"/>
      <c r="EH90" s="1148"/>
      <c r="EI90" s="1148"/>
      <c r="EJ90" s="1148"/>
      <c r="EK90" s="1148"/>
      <c r="EL90" s="1148"/>
      <c r="EM90" s="1148"/>
      <c r="EN90" s="1148"/>
      <c r="EO90" s="1148"/>
      <c r="EP90" s="1148"/>
      <c r="EQ90" s="1148"/>
      <c r="ER90" s="1148"/>
      <c r="ES90" s="1148"/>
      <c r="ET90" s="1148"/>
      <c r="EU90" s="1148"/>
      <c r="EV90" s="1148"/>
      <c r="EW90" s="1148"/>
      <c r="EX90" s="1148"/>
      <c r="EY90" s="1148"/>
      <c r="EZ90" s="1148"/>
      <c r="FA90" s="1148"/>
      <c r="FB90" s="1148"/>
      <c r="FC90" s="1148"/>
      <c r="FD90" s="1148"/>
      <c r="FE90" s="1148"/>
      <c r="FF90" s="1148"/>
      <c r="FG90" s="1148"/>
      <c r="FH90" s="1148"/>
      <c r="FI90" s="1148"/>
      <c r="FJ90" s="1148"/>
      <c r="FK90" s="1148"/>
      <c r="FL90" s="1148"/>
      <c r="FM90" s="1148"/>
      <c r="FN90" s="1148"/>
      <c r="FO90" s="1148"/>
      <c r="FP90" s="1148"/>
      <c r="FQ90" s="1148"/>
      <c r="FR90" s="1148"/>
      <c r="FS90" s="1148"/>
      <c r="FT90" s="1148"/>
      <c r="FU90" s="1148"/>
      <c r="FV90" s="1148"/>
      <c r="FW90" s="1148"/>
      <c r="FX90" s="1148"/>
      <c r="FY90" s="1148"/>
      <c r="FZ90" s="1148"/>
      <c r="GA90" s="1148"/>
      <c r="GB90" s="1148"/>
      <c r="GC90" s="1148"/>
      <c r="GD90" s="1148"/>
      <c r="GE90" s="1148"/>
      <c r="GF90" s="1148"/>
      <c r="GG90" s="1148"/>
      <c r="GH90" s="1148"/>
      <c r="GI90" s="1148"/>
      <c r="GJ90" s="1148"/>
      <c r="GK90" s="1148"/>
      <c r="GL90" s="1148"/>
      <c r="GM90" s="1148"/>
      <c r="GN90" s="1148"/>
      <c r="GO90" s="1148"/>
      <c r="GP90" s="1148"/>
      <c r="GQ90" s="1148"/>
      <c r="GR90" s="1148"/>
      <c r="GS90" s="1148"/>
      <c r="GT90" s="1148"/>
      <c r="GU90" s="1148"/>
      <c r="GV90" s="1148"/>
      <c r="GW90" s="1148"/>
      <c r="GX90" s="1148"/>
      <c r="GY90" s="1148"/>
      <c r="GZ90" s="1148"/>
      <c r="HA90" s="1148"/>
      <c r="HB90" s="1148"/>
      <c r="HC90" s="1148"/>
      <c r="HD90" s="1148"/>
      <c r="HE90" s="1148"/>
      <c r="HF90" s="1148"/>
      <c r="HG90" s="1148"/>
      <c r="HH90" s="1148"/>
      <c r="HI90" s="1148"/>
      <c r="HJ90" s="1148"/>
      <c r="HK90" s="1148"/>
      <c r="HL90" s="1148"/>
      <c r="HM90" s="1148"/>
      <c r="HN90" s="1148"/>
      <c r="HO90" s="1148"/>
      <c r="HP90" s="1148"/>
      <c r="HQ90" s="1148"/>
      <c r="HR90" s="1148"/>
      <c r="HS90" s="1148"/>
      <c r="HT90" s="1148"/>
      <c r="HU90" s="1148"/>
      <c r="HV90" s="1148"/>
      <c r="HW90" s="1148"/>
      <c r="HX90" s="1148"/>
      <c r="HY90" s="1148"/>
      <c r="HZ90" s="1148"/>
      <c r="IA90" s="1148"/>
      <c r="IB90" s="1148"/>
      <c r="IC90" s="1148"/>
      <c r="ID90" s="1148"/>
      <c r="IE90" s="1148"/>
      <c r="IF90" s="1148"/>
      <c r="IG90" s="1148"/>
      <c r="IH90" s="1148"/>
      <c r="II90" s="1148"/>
      <c r="IJ90" s="1148"/>
      <c r="IK90" s="1148"/>
      <c r="IL90" s="1148"/>
      <c r="IM90" s="1148"/>
      <c r="IN90" s="1148"/>
      <c r="IO90" s="1148"/>
      <c r="IP90" s="1148"/>
      <c r="IQ90" s="1148"/>
      <c r="IR90" s="1148"/>
      <c r="IS90" s="1148"/>
      <c r="IT90" s="1148"/>
      <c r="IU90" s="1148"/>
      <c r="IV90" s="1148"/>
      <c r="IW90" s="1148"/>
      <c r="IX90" s="1148"/>
      <c r="IY90" s="1148"/>
      <c r="IZ90" s="1148"/>
      <c r="JA90" s="1148"/>
      <c r="JB90" s="1148"/>
      <c r="JC90" s="1148"/>
      <c r="JD90" s="1148"/>
      <c r="JE90" s="1148"/>
      <c r="JF90" s="1148"/>
      <c r="JG90" s="1148"/>
      <c r="JH90" s="1148"/>
      <c r="JI90" s="1148"/>
      <c r="JJ90" s="1148"/>
      <c r="JK90" s="1148"/>
      <c r="JL90" s="1148"/>
      <c r="JM90" s="1148"/>
      <c r="JN90" s="1148"/>
      <c r="JO90" s="1148"/>
      <c r="JP90" s="1148"/>
      <c r="JQ90" s="1148"/>
      <c r="JR90" s="1148"/>
      <c r="JS90" s="1148"/>
      <c r="JT90" s="1148"/>
      <c r="JU90" s="1148"/>
      <c r="JV90" s="1148"/>
      <c r="JW90" s="1148"/>
      <c r="JX90" s="1148"/>
      <c r="JY90" s="1148"/>
      <c r="JZ90" s="1148"/>
      <c r="KA90" s="1148"/>
      <c r="KB90" s="1148"/>
      <c r="KC90" s="1148"/>
      <c r="KD90" s="1148"/>
      <c r="KE90" s="1148"/>
      <c r="KF90" s="1148"/>
      <c r="KG90" s="1148"/>
      <c r="KH90" s="1148"/>
      <c r="KI90" s="1148"/>
      <c r="KJ90" s="1148"/>
      <c r="KK90" s="1148"/>
      <c r="KL90" s="1148"/>
      <c r="KM90" s="1148"/>
      <c r="KN90" s="1148"/>
      <c r="KO90" s="1148"/>
      <c r="KP90" s="1148"/>
      <c r="KQ90" s="1148"/>
      <c r="KR90" s="1148"/>
      <c r="KS90" s="1148"/>
      <c r="KT90" s="1148"/>
      <c r="KU90" s="1148"/>
      <c r="KV90" s="1148"/>
      <c r="KW90" s="1148"/>
      <c r="KX90" s="1148"/>
      <c r="KY90" s="1148"/>
      <c r="KZ90" s="1148"/>
      <c r="LA90" s="1148"/>
      <c r="LB90" s="1148"/>
      <c r="LC90" s="1148"/>
      <c r="LD90" s="1148"/>
      <c r="LE90" s="1148"/>
      <c r="LF90" s="1148"/>
      <c r="LG90" s="1148"/>
      <c r="LH90" s="1148"/>
      <c r="LI90" s="1148"/>
      <c r="LJ90" s="1148"/>
      <c r="LK90" s="1148"/>
      <c r="LL90" s="1148"/>
      <c r="LM90" s="1148"/>
      <c r="LN90" s="1148"/>
      <c r="LO90" s="1148"/>
      <c r="LP90" s="1148"/>
      <c r="LQ90" s="1148"/>
      <c r="LR90" s="1148"/>
      <c r="LS90" s="1148"/>
      <c r="LT90" s="1148"/>
      <c r="LU90" s="1148"/>
      <c r="LV90" s="1148"/>
      <c r="LW90" s="1148"/>
      <c r="LX90" s="1148"/>
      <c r="LY90" s="1148"/>
      <c r="LZ90" s="1148"/>
      <c r="MA90" s="1148"/>
      <c r="MB90" s="1148"/>
      <c r="MC90" s="1148"/>
      <c r="MD90" s="1148"/>
      <c r="ME90" s="1148"/>
      <c r="MF90" s="1148"/>
      <c r="MG90" s="1148"/>
      <c r="MH90" s="1148"/>
      <c r="MI90" s="1148"/>
      <c r="MJ90" s="1148"/>
      <c r="MK90" s="1148"/>
      <c r="ML90" s="1148"/>
      <c r="MM90" s="1148"/>
      <c r="MN90" s="1148"/>
      <c r="MO90" s="1148"/>
      <c r="MP90" s="1148"/>
      <c r="MQ90" s="1148"/>
      <c r="MR90" s="1148"/>
      <c r="MS90" s="1148"/>
      <c r="MT90" s="1148"/>
      <c r="MU90" s="1148"/>
      <c r="MV90" s="1148"/>
      <c r="MW90" s="1148"/>
      <c r="MX90" s="1148"/>
      <c r="MY90" s="1148"/>
      <c r="MZ90" s="1148"/>
      <c r="NA90" s="1148"/>
      <c r="NB90" s="1148"/>
      <c r="NC90" s="1148"/>
      <c r="ND90" s="1148"/>
      <c r="NE90" s="1148"/>
      <c r="NF90" s="1148"/>
      <c r="NG90" s="1148"/>
      <c r="NH90" s="1148"/>
      <c r="NI90" s="1148"/>
      <c r="NJ90" s="1148"/>
      <c r="NK90" s="1148"/>
      <c r="NL90" s="1148"/>
      <c r="NM90" s="1148"/>
      <c r="NN90" s="1148"/>
      <c r="NO90" s="1148"/>
      <c r="NP90" s="1148"/>
      <c r="NQ90" s="1148"/>
      <c r="NR90" s="1148"/>
      <c r="NS90" s="1148"/>
      <c r="NT90" s="1148"/>
      <c r="NU90" s="1148"/>
      <c r="NV90" s="1148"/>
      <c r="NW90" s="1148"/>
      <c r="NX90" s="1148"/>
      <c r="NY90" s="1148"/>
      <c r="NZ90" s="1148"/>
      <c r="OA90" s="1148"/>
      <c r="OB90" s="1148"/>
      <c r="OC90" s="1148"/>
      <c r="OD90" s="1148"/>
      <c r="OE90" s="1148"/>
      <c r="OF90" s="1148"/>
      <c r="OG90" s="1148"/>
      <c r="OH90" s="1148"/>
      <c r="OI90" s="1148"/>
      <c r="OJ90" s="1148"/>
      <c r="OK90" s="1148"/>
      <c r="OL90" s="1148"/>
      <c r="OM90" s="1148"/>
      <c r="ON90" s="1148"/>
      <c r="OO90" s="1148"/>
      <c r="OP90" s="1148"/>
      <c r="OQ90" s="1148"/>
      <c r="OR90" s="1148"/>
      <c r="OS90" s="1148"/>
      <c r="OT90" s="1148"/>
      <c r="OU90" s="1148"/>
      <c r="OV90" s="1148"/>
      <c r="OW90" s="1148"/>
      <c r="OX90" s="1148"/>
      <c r="OY90" s="1148"/>
      <c r="OZ90" s="1148"/>
      <c r="PA90" s="1148"/>
      <c r="PB90" s="1148"/>
      <c r="PC90" s="1148"/>
      <c r="PD90" s="1148"/>
      <c r="PE90" s="1148"/>
      <c r="PF90" s="1148"/>
      <c r="PG90" s="1148"/>
      <c r="PH90" s="1148"/>
      <c r="PI90" s="1148"/>
      <c r="PJ90" s="1148"/>
      <c r="PK90" s="1148"/>
      <c r="PL90" s="1148"/>
      <c r="PM90" s="1148"/>
      <c r="PN90" s="1148"/>
      <c r="PO90" s="1148"/>
      <c r="PP90" s="1148"/>
      <c r="PQ90" s="1148"/>
      <c r="PR90" s="1148"/>
      <c r="PS90" s="1148"/>
      <c r="PT90" s="1148"/>
      <c r="PU90" s="1148"/>
      <c r="PV90" s="1148"/>
      <c r="PW90" s="1148"/>
      <c r="PX90" s="1148"/>
      <c r="PY90" s="1148"/>
      <c r="PZ90" s="1148"/>
      <c r="QA90" s="1148"/>
      <c r="QB90" s="1148"/>
      <c r="QC90" s="1148"/>
      <c r="QD90" s="1148"/>
      <c r="QE90" s="1148"/>
      <c r="QF90" s="1148"/>
      <c r="QG90" s="1148"/>
      <c r="QH90" s="1148"/>
      <c r="QI90" s="1148"/>
      <c r="QJ90" s="1148"/>
      <c r="QK90" s="1148"/>
      <c r="QL90" s="1148"/>
      <c r="QM90" s="1148"/>
      <c r="QN90" s="1148"/>
      <c r="QO90" s="1148"/>
      <c r="QP90" s="1148"/>
      <c r="QQ90" s="1148"/>
      <c r="QR90" s="1148"/>
      <c r="QS90" s="1148"/>
      <c r="QT90" s="1148"/>
      <c r="QU90" s="1148"/>
      <c r="QV90" s="1148"/>
      <c r="QW90" s="1148"/>
      <c r="QX90" s="1148"/>
      <c r="QY90" s="1148"/>
      <c r="QZ90" s="1148"/>
      <c r="RA90" s="1148"/>
      <c r="RB90" s="1148"/>
      <c r="RC90" s="1148"/>
      <c r="RD90" s="1148"/>
      <c r="RE90" s="1148"/>
      <c r="RF90" s="1148"/>
      <c r="RG90" s="1148"/>
      <c r="RH90" s="1148"/>
      <c r="RI90" s="1148"/>
      <c r="RJ90" s="1148"/>
      <c r="RK90" s="1148"/>
      <c r="RL90" s="1148"/>
      <c r="RM90" s="1148"/>
      <c r="RN90" s="1148"/>
      <c r="RO90" s="1148"/>
      <c r="RP90" s="1148"/>
      <c r="RQ90" s="1148"/>
      <c r="RR90" s="1148"/>
      <c r="RS90" s="1148"/>
      <c r="RT90" s="1148"/>
      <c r="RU90" s="1148"/>
      <c r="RV90" s="1148"/>
      <c r="RW90" s="1148"/>
      <c r="RX90" s="1148"/>
      <c r="RY90" s="1148"/>
      <c r="RZ90" s="1148"/>
      <c r="SA90" s="1148"/>
      <c r="SB90" s="1148"/>
      <c r="SC90" s="1148"/>
      <c r="SD90" s="1148"/>
      <c r="SE90" s="1148"/>
      <c r="SF90" s="1148"/>
      <c r="SG90" s="1148"/>
      <c r="SH90" s="1148"/>
      <c r="SI90" s="1148"/>
      <c r="SJ90" s="1148"/>
      <c r="SK90" s="1148"/>
      <c r="SL90" s="1148"/>
      <c r="SM90" s="1148"/>
      <c r="SN90" s="1148"/>
      <c r="SO90" s="1148"/>
      <c r="SP90" s="1148"/>
      <c r="SQ90" s="1148"/>
      <c r="SR90" s="1148"/>
      <c r="SS90" s="1148"/>
      <c r="ST90" s="1148"/>
      <c r="SU90" s="1148"/>
      <c r="SV90" s="1148"/>
      <c r="SW90" s="1148"/>
      <c r="SX90" s="1148"/>
      <c r="SY90" s="1148"/>
      <c r="SZ90" s="1148"/>
      <c r="TA90" s="1148"/>
      <c r="TB90" s="1148"/>
      <c r="TC90" s="1148"/>
      <c r="TD90" s="1148"/>
      <c r="TE90" s="1148"/>
      <c r="TF90" s="1148"/>
      <c r="TG90" s="1148"/>
      <c r="TH90" s="1148"/>
      <c r="TI90" s="1148"/>
      <c r="TJ90" s="1148"/>
      <c r="TK90" s="1148"/>
      <c r="TL90" s="1148"/>
      <c r="TM90" s="1148"/>
      <c r="TN90" s="1148"/>
      <c r="TO90" s="1148"/>
      <c r="TP90" s="1148"/>
      <c r="TQ90" s="1148"/>
      <c r="TR90" s="1148"/>
      <c r="TS90" s="1148"/>
      <c r="TT90" s="1148"/>
      <c r="TU90" s="1148"/>
      <c r="TV90" s="1148"/>
      <c r="TW90" s="1148"/>
      <c r="TX90" s="1148"/>
      <c r="TY90" s="1148"/>
      <c r="TZ90" s="1148"/>
      <c r="UA90" s="1148"/>
      <c r="UB90" s="1148"/>
      <c r="UC90" s="1148"/>
      <c r="UD90" s="1148"/>
      <c r="UE90" s="1148"/>
      <c r="UF90" s="1148"/>
      <c r="UG90" s="1148"/>
      <c r="UH90" s="1148"/>
      <c r="UI90" s="1148"/>
      <c r="UJ90" s="1148"/>
      <c r="UK90" s="1148"/>
      <c r="UL90" s="1148"/>
      <c r="UM90" s="1148"/>
      <c r="UN90" s="1148"/>
      <c r="UO90" s="1148"/>
      <c r="UP90" s="1148"/>
      <c r="UQ90" s="1148"/>
      <c r="UR90" s="1148"/>
      <c r="US90" s="1148"/>
      <c r="UT90" s="1148"/>
      <c r="UU90" s="1148"/>
      <c r="UV90" s="1148"/>
      <c r="UW90" s="1148"/>
      <c r="UX90" s="1148"/>
      <c r="UY90" s="1148"/>
      <c r="UZ90" s="1148"/>
      <c r="VA90" s="1148"/>
      <c r="VB90" s="1148"/>
      <c r="VC90" s="1148"/>
      <c r="VD90" s="1148"/>
      <c r="VE90" s="1148"/>
      <c r="VF90" s="1148"/>
      <c r="VG90" s="1148"/>
      <c r="VH90" s="1148"/>
      <c r="VI90" s="1148"/>
      <c r="VJ90" s="1148"/>
      <c r="VK90" s="1148"/>
      <c r="VL90" s="1148"/>
      <c r="VM90" s="1148"/>
      <c r="VN90" s="1148"/>
      <c r="VO90" s="1148"/>
      <c r="VP90" s="1148"/>
      <c r="VQ90" s="1148"/>
      <c r="VR90" s="1148"/>
      <c r="VS90" s="1148"/>
      <c r="VT90" s="1148"/>
      <c r="VU90" s="1148"/>
      <c r="VV90" s="1148"/>
      <c r="VW90" s="1148"/>
      <c r="VX90" s="1148"/>
      <c r="VY90" s="1148"/>
      <c r="VZ90" s="1148"/>
      <c r="WA90" s="1148"/>
      <c r="WB90" s="1148"/>
      <c r="WC90" s="1148"/>
      <c r="WD90" s="1148"/>
      <c r="WE90" s="1148"/>
      <c r="WF90" s="1148"/>
      <c r="WG90" s="1148"/>
      <c r="WH90" s="1148"/>
      <c r="WI90" s="1148"/>
      <c r="WJ90" s="1148"/>
      <c r="WK90" s="1148"/>
      <c r="WL90" s="1148"/>
      <c r="WM90" s="1148"/>
      <c r="WN90" s="1148"/>
      <c r="WO90" s="1148"/>
      <c r="WP90" s="1148"/>
      <c r="WQ90" s="1148"/>
      <c r="WR90" s="1148"/>
      <c r="WS90" s="1148"/>
      <c r="WT90" s="1148"/>
      <c r="WU90" s="1148"/>
      <c r="WV90" s="1148"/>
      <c r="WW90" s="1148"/>
      <c r="WX90" s="1148"/>
      <c r="WY90" s="1148"/>
      <c r="WZ90" s="1148"/>
      <c r="XA90" s="1148"/>
      <c r="XB90" s="1148"/>
      <c r="XC90" s="1148"/>
      <c r="XD90" s="1148"/>
      <c r="XE90" s="1148"/>
      <c r="XF90" s="1148"/>
      <c r="XG90" s="1148"/>
      <c r="XH90" s="1148"/>
      <c r="XI90" s="1148"/>
      <c r="XJ90" s="1148"/>
      <c r="XK90" s="1148"/>
      <c r="XL90" s="1148"/>
      <c r="XM90" s="1148"/>
      <c r="XN90" s="1148"/>
      <c r="XO90" s="1148"/>
      <c r="XP90" s="1148"/>
      <c r="XQ90" s="1148"/>
      <c r="XR90" s="1148"/>
      <c r="XS90" s="1148"/>
      <c r="XT90" s="1148"/>
      <c r="XU90" s="1148"/>
      <c r="XV90" s="1148"/>
      <c r="XW90" s="1148"/>
      <c r="XX90" s="1148"/>
      <c r="XY90" s="1148"/>
      <c r="XZ90" s="1148"/>
      <c r="YA90" s="1148"/>
      <c r="YB90" s="1148"/>
      <c r="YC90" s="1148"/>
      <c r="YD90" s="1148"/>
      <c r="YE90" s="1148"/>
      <c r="YF90" s="1148"/>
      <c r="YG90" s="1148"/>
      <c r="YH90" s="1148"/>
      <c r="YI90" s="1148"/>
      <c r="YJ90" s="1148"/>
      <c r="YK90" s="1148"/>
      <c r="YL90" s="1148"/>
      <c r="YM90" s="1148"/>
      <c r="YN90" s="1148"/>
      <c r="YO90" s="1148"/>
      <c r="YP90" s="1148"/>
      <c r="YQ90" s="1148"/>
      <c r="YR90" s="1148"/>
      <c r="YS90" s="1148"/>
      <c r="YT90" s="1148"/>
      <c r="YU90" s="1148"/>
      <c r="YV90" s="1148"/>
      <c r="YW90" s="1148"/>
      <c r="YX90" s="1148"/>
      <c r="YY90" s="1148"/>
      <c r="YZ90" s="1148"/>
      <c r="ZA90" s="1148"/>
      <c r="ZB90" s="1148"/>
      <c r="ZC90" s="1148"/>
      <c r="ZD90" s="1148"/>
      <c r="ZE90" s="1148"/>
      <c r="ZF90" s="1148"/>
      <c r="ZG90" s="1148"/>
      <c r="ZH90" s="1148"/>
      <c r="ZI90" s="1148"/>
      <c r="ZJ90" s="1148"/>
      <c r="ZK90" s="1148"/>
      <c r="ZL90" s="1148"/>
      <c r="ZM90" s="1148"/>
      <c r="ZN90" s="1148"/>
      <c r="ZO90" s="1148"/>
      <c r="ZP90" s="1148"/>
      <c r="ZQ90" s="1148"/>
      <c r="ZR90" s="1148"/>
      <c r="ZS90" s="1148"/>
      <c r="ZT90" s="1148"/>
      <c r="ZU90" s="1148"/>
      <c r="ZV90" s="1148"/>
      <c r="ZW90" s="1148"/>
      <c r="ZX90" s="1148"/>
      <c r="ZY90" s="1148"/>
      <c r="ZZ90" s="1148"/>
      <c r="AAA90" s="1148"/>
      <c r="AAB90" s="1148"/>
      <c r="AAC90" s="1148"/>
      <c r="AAD90" s="1148"/>
      <c r="AAE90" s="1148"/>
      <c r="AAF90" s="1148"/>
      <c r="AAG90" s="1148"/>
      <c r="AAH90" s="1148"/>
      <c r="AAI90" s="1148"/>
      <c r="AAJ90" s="1148"/>
      <c r="AAK90" s="1148"/>
      <c r="AAL90" s="1148"/>
      <c r="AAM90" s="1148"/>
      <c r="AAN90" s="1148"/>
      <c r="AAO90" s="1148"/>
      <c r="AAP90" s="1148"/>
      <c r="AAQ90" s="1148"/>
      <c r="AAR90" s="1148"/>
      <c r="AAS90" s="1148"/>
      <c r="AAT90" s="1148"/>
      <c r="AAU90" s="1148"/>
      <c r="AAV90" s="1148"/>
      <c r="AAW90" s="1148"/>
      <c r="AAX90" s="1148"/>
      <c r="AAY90" s="1148"/>
      <c r="AAZ90" s="1148"/>
      <c r="ABA90" s="1148"/>
      <c r="ABB90" s="1148"/>
      <c r="ABC90" s="1148"/>
      <c r="ABD90" s="1148"/>
      <c r="ABE90" s="1148"/>
      <c r="ABF90" s="1148"/>
      <c r="ABG90" s="1148"/>
      <c r="ABH90" s="1148"/>
      <c r="ABI90" s="1148"/>
      <c r="ABJ90" s="1148"/>
      <c r="ABK90" s="1148"/>
      <c r="ABL90" s="1148"/>
      <c r="ABM90" s="1148"/>
      <c r="ABN90" s="1148"/>
      <c r="ABO90" s="1148"/>
      <c r="ABP90" s="1148"/>
      <c r="ABQ90" s="1148"/>
      <c r="ABR90" s="1148"/>
      <c r="ABS90" s="1148"/>
      <c r="ABT90" s="1148"/>
      <c r="ABU90" s="1148"/>
      <c r="ABV90" s="1148"/>
      <c r="ABW90" s="1148"/>
      <c r="ABX90" s="1148"/>
      <c r="ABY90" s="1148"/>
      <c r="ABZ90" s="1148"/>
      <c r="ACA90" s="1148"/>
      <c r="ACB90" s="1148"/>
      <c r="ACC90" s="1148"/>
      <c r="ACD90" s="1148"/>
      <c r="ACE90" s="1148"/>
      <c r="ACF90" s="1148"/>
      <c r="ACG90" s="1148"/>
      <c r="ACH90" s="1148"/>
      <c r="ACI90" s="1148"/>
      <c r="ACJ90" s="1148"/>
      <c r="ACK90" s="1148"/>
      <c r="ACL90" s="1148"/>
      <c r="ACM90" s="1148"/>
      <c r="ACN90" s="1148"/>
      <c r="ACO90" s="1148"/>
      <c r="ACP90" s="1148"/>
      <c r="ACQ90" s="1148"/>
      <c r="ACR90" s="1148"/>
      <c r="ACS90" s="1148"/>
      <c r="ACT90" s="1148"/>
      <c r="ACU90" s="1148"/>
      <c r="ACV90" s="1148"/>
      <c r="ACW90" s="1148"/>
      <c r="ACX90" s="1148"/>
      <c r="ACY90" s="1148"/>
      <c r="ACZ90" s="1148"/>
      <c r="ADA90" s="1148"/>
      <c r="ADB90" s="1148"/>
      <c r="ADC90" s="1148"/>
      <c r="ADD90" s="1148"/>
      <c r="ADE90" s="1148"/>
      <c r="ADF90" s="1148"/>
      <c r="ADG90" s="1148"/>
      <c r="ADH90" s="1148"/>
      <c r="ADI90" s="1148"/>
      <c r="ADJ90" s="1148"/>
      <c r="ADK90" s="1148"/>
      <c r="ADL90" s="1148"/>
      <c r="ADM90" s="1148"/>
      <c r="ADN90" s="1148"/>
      <c r="ADO90" s="1148"/>
      <c r="ADP90" s="1148"/>
      <c r="ADQ90" s="1148"/>
      <c r="ADR90" s="1148"/>
      <c r="ADS90" s="1148"/>
      <c r="ADT90" s="1148"/>
      <c r="ADU90" s="1148"/>
      <c r="ADV90" s="1148"/>
      <c r="ADW90" s="1148"/>
      <c r="ADX90" s="1148"/>
      <c r="ADY90" s="1148"/>
      <c r="ADZ90" s="1148"/>
      <c r="AEA90" s="1148"/>
      <c r="AEB90" s="1148"/>
      <c r="AEC90" s="1148"/>
      <c r="AED90" s="1148"/>
      <c r="AEE90" s="1148"/>
      <c r="AEF90" s="1148"/>
      <c r="AEG90" s="1148"/>
      <c r="AEH90" s="1148"/>
      <c r="AEI90" s="1148"/>
      <c r="AEJ90" s="1148"/>
      <c r="AEK90" s="1148"/>
      <c r="AEL90" s="1148"/>
      <c r="AEM90" s="1148"/>
      <c r="AEN90" s="1148"/>
      <c r="AEO90" s="1148"/>
      <c r="AEP90" s="1148"/>
      <c r="AEQ90" s="1148"/>
      <c r="AER90" s="1148"/>
      <c r="AES90" s="1148"/>
      <c r="AET90" s="1148"/>
      <c r="AEU90" s="1148"/>
      <c r="AEV90" s="1148"/>
      <c r="AEW90" s="1148"/>
      <c r="AEX90" s="1148"/>
      <c r="AEY90" s="1148"/>
      <c r="AEZ90" s="1148"/>
      <c r="AFA90" s="1148"/>
      <c r="AFB90" s="1148"/>
      <c r="AFC90" s="1148"/>
      <c r="AFD90" s="1148"/>
      <c r="AFE90" s="1148"/>
      <c r="AFF90" s="1148"/>
      <c r="AFG90" s="1148"/>
      <c r="AFH90" s="1148"/>
      <c r="AFI90" s="1148"/>
      <c r="AFJ90" s="1148"/>
      <c r="AFK90" s="1148"/>
      <c r="AFL90" s="1148"/>
      <c r="AFM90" s="1148"/>
      <c r="AFN90" s="1148"/>
      <c r="AFO90" s="1148"/>
      <c r="AFP90" s="1148"/>
      <c r="AFQ90" s="1148"/>
      <c r="AFR90" s="1148"/>
      <c r="AFS90" s="1148"/>
      <c r="AFT90" s="1148"/>
      <c r="AFU90" s="1148"/>
      <c r="AFV90" s="1148"/>
      <c r="AFW90" s="1148"/>
      <c r="AFX90" s="1148"/>
      <c r="AFY90" s="1148"/>
      <c r="AFZ90" s="1148"/>
      <c r="AGA90" s="1148"/>
      <c r="AGB90" s="1148"/>
      <c r="AGC90" s="1148"/>
      <c r="AGD90" s="1148"/>
      <c r="AGE90" s="1148"/>
      <c r="AGF90" s="1148"/>
      <c r="AGG90" s="1148"/>
      <c r="AGH90" s="1148"/>
      <c r="AGI90" s="1148"/>
      <c r="AGJ90" s="1148"/>
      <c r="AGK90" s="1148"/>
      <c r="AGL90" s="1148"/>
      <c r="AGM90" s="1148"/>
      <c r="AGN90" s="1148"/>
      <c r="AGO90" s="1148"/>
      <c r="AGP90" s="1148"/>
      <c r="AGQ90" s="1148"/>
      <c r="AGR90" s="1148"/>
      <c r="AGS90" s="1148"/>
      <c r="AGT90" s="1148"/>
      <c r="AGU90" s="1148"/>
      <c r="AGV90" s="1148"/>
      <c r="AGW90" s="1148"/>
    </row>
    <row r="91" spans="1:881" s="1149" customFormat="1" ht="66.75" customHeight="1" x14ac:dyDescent="0.2">
      <c r="A91" s="3551"/>
      <c r="B91" s="3552"/>
      <c r="C91" s="3553"/>
      <c r="D91" s="3775"/>
      <c r="E91" s="3775"/>
      <c r="F91" s="3776"/>
      <c r="G91" s="1187"/>
      <c r="H91" s="1187"/>
      <c r="I91" s="1187"/>
      <c r="J91" s="3564">
        <v>50</v>
      </c>
      <c r="K91" s="3567" t="s">
        <v>924</v>
      </c>
      <c r="L91" s="3672" t="s">
        <v>19</v>
      </c>
      <c r="M91" s="3564">
        <v>2</v>
      </c>
      <c r="N91" s="3783">
        <v>2</v>
      </c>
      <c r="O91" s="3672" t="s">
        <v>932</v>
      </c>
      <c r="P91" s="3604">
        <v>58</v>
      </c>
      <c r="Q91" s="3627" t="s">
        <v>933</v>
      </c>
      <c r="R91" s="1196">
        <f>W91/S91</f>
        <v>0.66666666666666663</v>
      </c>
      <c r="S91" s="3786">
        <v>3000000</v>
      </c>
      <c r="T91" s="3627" t="s">
        <v>934</v>
      </c>
      <c r="U91" s="2349" t="s">
        <v>935</v>
      </c>
      <c r="V91" s="1197" t="s">
        <v>936</v>
      </c>
      <c r="W91" s="2350">
        <v>2000000</v>
      </c>
      <c r="X91" s="1198">
        <v>2000000</v>
      </c>
      <c r="Y91" s="1198">
        <v>2000000</v>
      </c>
      <c r="Z91" s="3604">
        <v>20</v>
      </c>
      <c r="AA91" s="3672" t="s">
        <v>130</v>
      </c>
      <c r="AB91" s="3487">
        <v>4424</v>
      </c>
      <c r="AC91" s="3482">
        <f>+AB91/($W$91+$W$92)*($Y$91+$Y$92)</f>
        <v>4424</v>
      </c>
      <c r="AD91" s="3487">
        <v>11752</v>
      </c>
      <c r="AE91" s="3482">
        <f>+AD91/($W$91+$W$92)*($Y$91+$Y$92)</f>
        <v>11752</v>
      </c>
      <c r="AF91" s="3487">
        <v>5066</v>
      </c>
      <c r="AG91" s="3482">
        <f>+AF91/($W$91+$W$92)*($Y$91+$Y$92)</f>
        <v>5066</v>
      </c>
      <c r="AH91" s="3487">
        <v>18027</v>
      </c>
      <c r="AI91" s="3482">
        <f>+AH91/($W$91+$W$92)*($Y$91+$Y$92)</f>
        <v>18027</v>
      </c>
      <c r="AJ91" s="3487">
        <v>18027</v>
      </c>
      <c r="AK91" s="3482">
        <f>+AJ91/($W$91+$W$92)*($Y$91+$Y$92)</f>
        <v>18027</v>
      </c>
      <c r="AL91" s="3487">
        <v>8561</v>
      </c>
      <c r="AM91" s="3482">
        <f>+AL91/($W$91+$W$92)*($Y$91+$Y$92)</f>
        <v>8561</v>
      </c>
      <c r="AN91" s="3487"/>
      <c r="AO91" s="3482"/>
      <c r="AP91" s="3487">
        <v>2145</v>
      </c>
      <c r="AQ91" s="3482">
        <f>+AP91/($W$91+$W$92)*($Y$91+$Y$92)</f>
        <v>2145</v>
      </c>
      <c r="AR91" s="3564"/>
      <c r="AS91" s="3783"/>
      <c r="AT91" s="3564"/>
      <c r="AU91" s="3783"/>
      <c r="AV91" s="3485">
        <v>41543</v>
      </c>
      <c r="AW91" s="3482">
        <f>+AV91/($W$91+$W$92)*($Y$91+$Y$92)</f>
        <v>41543</v>
      </c>
      <c r="AX91" s="3672"/>
      <c r="AY91" s="3796"/>
      <c r="AZ91" s="3564" t="s">
        <v>930</v>
      </c>
      <c r="BA91" s="3794">
        <v>3000000</v>
      </c>
      <c r="BB91" s="3794">
        <v>3000000</v>
      </c>
      <c r="BC91" s="3652">
        <f>+BB91/BA91</f>
        <v>1</v>
      </c>
      <c r="BD91" s="3564" t="s">
        <v>165</v>
      </c>
      <c r="BE91" s="3564" t="s">
        <v>931</v>
      </c>
      <c r="BF91" s="3791">
        <v>42447</v>
      </c>
      <c r="BG91" s="3789">
        <v>42447</v>
      </c>
      <c r="BH91" s="3791">
        <v>42476</v>
      </c>
      <c r="BI91" s="3789">
        <v>42476</v>
      </c>
      <c r="BJ91" s="3780"/>
      <c r="BK91" s="1148"/>
      <c r="BL91" s="1148"/>
      <c r="BM91" s="1148"/>
      <c r="BN91" s="1148"/>
      <c r="BO91" s="1148"/>
      <c r="BP91" s="1148"/>
      <c r="BQ91" s="1148"/>
      <c r="BR91" s="1148"/>
      <c r="BS91" s="1148"/>
      <c r="BT91" s="1148"/>
      <c r="BU91" s="1148"/>
      <c r="BV91" s="1148"/>
      <c r="BW91" s="1148"/>
      <c r="BX91" s="1148"/>
      <c r="BY91" s="1148"/>
      <c r="BZ91" s="1148"/>
      <c r="CA91" s="1148"/>
      <c r="CB91" s="1148"/>
      <c r="CC91" s="1148"/>
      <c r="CD91" s="1148"/>
      <c r="CE91" s="1148"/>
      <c r="CF91" s="1148"/>
      <c r="CG91" s="1148"/>
      <c r="CH91" s="1148"/>
      <c r="CI91" s="1148"/>
      <c r="CJ91" s="1148"/>
      <c r="CK91" s="1148"/>
      <c r="CL91" s="1148"/>
      <c r="CM91" s="1148"/>
      <c r="CN91" s="1148"/>
      <c r="CO91" s="1148"/>
      <c r="CP91" s="1148"/>
      <c r="CQ91" s="1148"/>
      <c r="CR91" s="1148"/>
      <c r="CS91" s="1148"/>
      <c r="CT91" s="1148"/>
      <c r="CU91" s="1148"/>
      <c r="CV91" s="1148"/>
      <c r="CW91" s="1148"/>
      <c r="CX91" s="1148"/>
      <c r="CY91" s="1148"/>
      <c r="CZ91" s="1148"/>
      <c r="DA91" s="1148"/>
      <c r="DB91" s="1148"/>
      <c r="DC91" s="1148"/>
      <c r="DD91" s="1148"/>
      <c r="DE91" s="1148"/>
      <c r="DF91" s="1148"/>
      <c r="DG91" s="1148"/>
      <c r="DH91" s="1148"/>
      <c r="DI91" s="1148"/>
      <c r="DJ91" s="1148"/>
      <c r="DK91" s="1148"/>
      <c r="DL91" s="1148"/>
      <c r="DM91" s="1148"/>
      <c r="DN91" s="1148"/>
      <c r="DO91" s="1148"/>
      <c r="DP91" s="1148"/>
      <c r="DQ91" s="1148"/>
      <c r="DR91" s="1148"/>
      <c r="DS91" s="1148"/>
      <c r="DT91" s="1148"/>
      <c r="DU91" s="1148"/>
      <c r="DV91" s="1148"/>
      <c r="DW91" s="1148"/>
      <c r="DX91" s="1148"/>
      <c r="DY91" s="1148"/>
      <c r="DZ91" s="1148"/>
      <c r="EA91" s="1148"/>
      <c r="EB91" s="1148"/>
      <c r="EC91" s="1148"/>
      <c r="ED91" s="1148"/>
      <c r="EE91" s="1148"/>
      <c r="EF91" s="1148"/>
      <c r="EG91" s="1148"/>
      <c r="EH91" s="1148"/>
      <c r="EI91" s="1148"/>
      <c r="EJ91" s="1148"/>
      <c r="EK91" s="1148"/>
      <c r="EL91" s="1148"/>
      <c r="EM91" s="1148"/>
      <c r="EN91" s="1148"/>
      <c r="EO91" s="1148"/>
      <c r="EP91" s="1148"/>
      <c r="EQ91" s="1148"/>
      <c r="ER91" s="1148"/>
      <c r="ES91" s="1148"/>
      <c r="ET91" s="1148"/>
      <c r="EU91" s="1148"/>
      <c r="EV91" s="1148"/>
      <c r="EW91" s="1148"/>
      <c r="EX91" s="1148"/>
      <c r="EY91" s="1148"/>
      <c r="EZ91" s="1148"/>
      <c r="FA91" s="1148"/>
      <c r="FB91" s="1148"/>
      <c r="FC91" s="1148"/>
      <c r="FD91" s="1148"/>
      <c r="FE91" s="1148"/>
      <c r="FF91" s="1148"/>
      <c r="FG91" s="1148"/>
      <c r="FH91" s="1148"/>
      <c r="FI91" s="1148"/>
      <c r="FJ91" s="1148"/>
      <c r="FK91" s="1148"/>
      <c r="FL91" s="1148"/>
      <c r="FM91" s="1148"/>
      <c r="FN91" s="1148"/>
      <c r="FO91" s="1148"/>
      <c r="FP91" s="1148"/>
      <c r="FQ91" s="1148"/>
      <c r="FR91" s="1148"/>
      <c r="FS91" s="1148"/>
      <c r="FT91" s="1148"/>
      <c r="FU91" s="1148"/>
      <c r="FV91" s="1148"/>
      <c r="FW91" s="1148"/>
      <c r="FX91" s="1148"/>
      <c r="FY91" s="1148"/>
      <c r="FZ91" s="1148"/>
      <c r="GA91" s="1148"/>
      <c r="GB91" s="1148"/>
      <c r="GC91" s="1148"/>
      <c r="GD91" s="1148"/>
      <c r="GE91" s="1148"/>
      <c r="GF91" s="1148"/>
      <c r="GG91" s="1148"/>
      <c r="GH91" s="1148"/>
      <c r="GI91" s="1148"/>
      <c r="GJ91" s="1148"/>
      <c r="GK91" s="1148"/>
      <c r="GL91" s="1148"/>
      <c r="GM91" s="1148"/>
      <c r="GN91" s="1148"/>
      <c r="GO91" s="1148"/>
      <c r="GP91" s="1148"/>
      <c r="GQ91" s="1148"/>
      <c r="GR91" s="1148"/>
      <c r="GS91" s="1148"/>
      <c r="GT91" s="1148"/>
      <c r="GU91" s="1148"/>
      <c r="GV91" s="1148"/>
      <c r="GW91" s="1148"/>
      <c r="GX91" s="1148"/>
      <c r="GY91" s="1148"/>
      <c r="GZ91" s="1148"/>
      <c r="HA91" s="1148"/>
      <c r="HB91" s="1148"/>
      <c r="HC91" s="1148"/>
      <c r="HD91" s="1148"/>
      <c r="HE91" s="1148"/>
      <c r="HF91" s="1148"/>
      <c r="HG91" s="1148"/>
      <c r="HH91" s="1148"/>
      <c r="HI91" s="1148"/>
      <c r="HJ91" s="1148"/>
      <c r="HK91" s="1148"/>
      <c r="HL91" s="1148"/>
      <c r="HM91" s="1148"/>
      <c r="HN91" s="1148"/>
      <c r="HO91" s="1148"/>
      <c r="HP91" s="1148"/>
      <c r="HQ91" s="1148"/>
      <c r="HR91" s="1148"/>
      <c r="HS91" s="1148"/>
      <c r="HT91" s="1148"/>
      <c r="HU91" s="1148"/>
      <c r="HV91" s="1148"/>
      <c r="HW91" s="1148"/>
      <c r="HX91" s="1148"/>
      <c r="HY91" s="1148"/>
      <c r="HZ91" s="1148"/>
      <c r="IA91" s="1148"/>
      <c r="IB91" s="1148"/>
      <c r="IC91" s="1148"/>
      <c r="ID91" s="1148"/>
      <c r="IE91" s="1148"/>
      <c r="IF91" s="1148"/>
      <c r="IG91" s="1148"/>
      <c r="IH91" s="1148"/>
      <c r="II91" s="1148"/>
      <c r="IJ91" s="1148"/>
      <c r="IK91" s="1148"/>
      <c r="IL91" s="1148"/>
      <c r="IM91" s="1148"/>
      <c r="IN91" s="1148"/>
      <c r="IO91" s="1148"/>
      <c r="IP91" s="1148"/>
      <c r="IQ91" s="1148"/>
      <c r="IR91" s="1148"/>
      <c r="IS91" s="1148"/>
      <c r="IT91" s="1148"/>
      <c r="IU91" s="1148"/>
      <c r="IV91" s="1148"/>
      <c r="IW91" s="1148"/>
      <c r="IX91" s="1148"/>
      <c r="IY91" s="1148"/>
      <c r="IZ91" s="1148"/>
      <c r="JA91" s="1148"/>
      <c r="JB91" s="1148"/>
      <c r="JC91" s="1148"/>
      <c r="JD91" s="1148"/>
      <c r="JE91" s="1148"/>
      <c r="JF91" s="1148"/>
      <c r="JG91" s="1148"/>
      <c r="JH91" s="1148"/>
      <c r="JI91" s="1148"/>
      <c r="JJ91" s="1148"/>
      <c r="JK91" s="1148"/>
      <c r="JL91" s="1148"/>
      <c r="JM91" s="1148"/>
      <c r="JN91" s="1148"/>
      <c r="JO91" s="1148"/>
      <c r="JP91" s="1148"/>
      <c r="JQ91" s="1148"/>
      <c r="JR91" s="1148"/>
      <c r="JS91" s="1148"/>
      <c r="JT91" s="1148"/>
      <c r="JU91" s="1148"/>
      <c r="JV91" s="1148"/>
      <c r="JW91" s="1148"/>
      <c r="JX91" s="1148"/>
      <c r="JY91" s="1148"/>
      <c r="JZ91" s="1148"/>
      <c r="KA91" s="1148"/>
      <c r="KB91" s="1148"/>
      <c r="KC91" s="1148"/>
      <c r="KD91" s="1148"/>
      <c r="KE91" s="1148"/>
      <c r="KF91" s="1148"/>
      <c r="KG91" s="1148"/>
      <c r="KH91" s="1148"/>
      <c r="KI91" s="1148"/>
      <c r="KJ91" s="1148"/>
      <c r="KK91" s="1148"/>
      <c r="KL91" s="1148"/>
      <c r="KM91" s="1148"/>
      <c r="KN91" s="1148"/>
      <c r="KO91" s="1148"/>
      <c r="KP91" s="1148"/>
      <c r="KQ91" s="1148"/>
      <c r="KR91" s="1148"/>
      <c r="KS91" s="1148"/>
      <c r="KT91" s="1148"/>
      <c r="KU91" s="1148"/>
      <c r="KV91" s="1148"/>
      <c r="KW91" s="1148"/>
      <c r="KX91" s="1148"/>
      <c r="KY91" s="1148"/>
      <c r="KZ91" s="1148"/>
      <c r="LA91" s="1148"/>
      <c r="LB91" s="1148"/>
      <c r="LC91" s="1148"/>
      <c r="LD91" s="1148"/>
      <c r="LE91" s="1148"/>
      <c r="LF91" s="1148"/>
      <c r="LG91" s="1148"/>
      <c r="LH91" s="1148"/>
      <c r="LI91" s="1148"/>
      <c r="LJ91" s="1148"/>
      <c r="LK91" s="1148"/>
      <c r="LL91" s="1148"/>
      <c r="LM91" s="1148"/>
      <c r="LN91" s="1148"/>
      <c r="LO91" s="1148"/>
      <c r="LP91" s="1148"/>
      <c r="LQ91" s="1148"/>
      <c r="LR91" s="1148"/>
      <c r="LS91" s="1148"/>
      <c r="LT91" s="1148"/>
      <c r="LU91" s="1148"/>
      <c r="LV91" s="1148"/>
      <c r="LW91" s="1148"/>
      <c r="LX91" s="1148"/>
      <c r="LY91" s="1148"/>
      <c r="LZ91" s="1148"/>
      <c r="MA91" s="1148"/>
      <c r="MB91" s="1148"/>
      <c r="MC91" s="1148"/>
      <c r="MD91" s="1148"/>
      <c r="ME91" s="1148"/>
      <c r="MF91" s="1148"/>
      <c r="MG91" s="1148"/>
      <c r="MH91" s="1148"/>
      <c r="MI91" s="1148"/>
      <c r="MJ91" s="1148"/>
      <c r="MK91" s="1148"/>
      <c r="ML91" s="1148"/>
      <c r="MM91" s="1148"/>
      <c r="MN91" s="1148"/>
      <c r="MO91" s="1148"/>
      <c r="MP91" s="1148"/>
      <c r="MQ91" s="1148"/>
      <c r="MR91" s="1148"/>
      <c r="MS91" s="1148"/>
      <c r="MT91" s="1148"/>
      <c r="MU91" s="1148"/>
      <c r="MV91" s="1148"/>
      <c r="MW91" s="1148"/>
      <c r="MX91" s="1148"/>
      <c r="MY91" s="1148"/>
      <c r="MZ91" s="1148"/>
      <c r="NA91" s="1148"/>
      <c r="NB91" s="1148"/>
      <c r="NC91" s="1148"/>
      <c r="ND91" s="1148"/>
      <c r="NE91" s="1148"/>
      <c r="NF91" s="1148"/>
      <c r="NG91" s="1148"/>
      <c r="NH91" s="1148"/>
      <c r="NI91" s="1148"/>
      <c r="NJ91" s="1148"/>
      <c r="NK91" s="1148"/>
      <c r="NL91" s="1148"/>
      <c r="NM91" s="1148"/>
      <c r="NN91" s="1148"/>
      <c r="NO91" s="1148"/>
      <c r="NP91" s="1148"/>
      <c r="NQ91" s="1148"/>
      <c r="NR91" s="1148"/>
      <c r="NS91" s="1148"/>
      <c r="NT91" s="1148"/>
      <c r="NU91" s="1148"/>
      <c r="NV91" s="1148"/>
      <c r="NW91" s="1148"/>
      <c r="NX91" s="1148"/>
      <c r="NY91" s="1148"/>
      <c r="NZ91" s="1148"/>
      <c r="OA91" s="1148"/>
      <c r="OB91" s="1148"/>
      <c r="OC91" s="1148"/>
      <c r="OD91" s="1148"/>
      <c r="OE91" s="1148"/>
      <c r="OF91" s="1148"/>
      <c r="OG91" s="1148"/>
      <c r="OH91" s="1148"/>
      <c r="OI91" s="1148"/>
      <c r="OJ91" s="1148"/>
      <c r="OK91" s="1148"/>
      <c r="OL91" s="1148"/>
      <c r="OM91" s="1148"/>
      <c r="ON91" s="1148"/>
      <c r="OO91" s="1148"/>
      <c r="OP91" s="1148"/>
      <c r="OQ91" s="1148"/>
      <c r="OR91" s="1148"/>
      <c r="OS91" s="1148"/>
      <c r="OT91" s="1148"/>
      <c r="OU91" s="1148"/>
      <c r="OV91" s="1148"/>
      <c r="OW91" s="1148"/>
      <c r="OX91" s="1148"/>
      <c r="OY91" s="1148"/>
      <c r="OZ91" s="1148"/>
      <c r="PA91" s="1148"/>
      <c r="PB91" s="1148"/>
      <c r="PC91" s="1148"/>
      <c r="PD91" s="1148"/>
      <c r="PE91" s="1148"/>
      <c r="PF91" s="1148"/>
      <c r="PG91" s="1148"/>
      <c r="PH91" s="1148"/>
      <c r="PI91" s="1148"/>
      <c r="PJ91" s="1148"/>
      <c r="PK91" s="1148"/>
      <c r="PL91" s="1148"/>
      <c r="PM91" s="1148"/>
      <c r="PN91" s="1148"/>
      <c r="PO91" s="1148"/>
      <c r="PP91" s="1148"/>
      <c r="PQ91" s="1148"/>
      <c r="PR91" s="1148"/>
      <c r="PS91" s="1148"/>
      <c r="PT91" s="1148"/>
      <c r="PU91" s="1148"/>
      <c r="PV91" s="1148"/>
      <c r="PW91" s="1148"/>
      <c r="PX91" s="1148"/>
      <c r="PY91" s="1148"/>
      <c r="PZ91" s="1148"/>
      <c r="QA91" s="1148"/>
      <c r="QB91" s="1148"/>
      <c r="QC91" s="1148"/>
      <c r="QD91" s="1148"/>
      <c r="QE91" s="1148"/>
      <c r="QF91" s="1148"/>
      <c r="QG91" s="1148"/>
      <c r="QH91" s="1148"/>
      <c r="QI91" s="1148"/>
      <c r="QJ91" s="1148"/>
      <c r="QK91" s="1148"/>
      <c r="QL91" s="1148"/>
      <c r="QM91" s="1148"/>
      <c r="QN91" s="1148"/>
      <c r="QO91" s="1148"/>
      <c r="QP91" s="1148"/>
      <c r="QQ91" s="1148"/>
      <c r="QR91" s="1148"/>
      <c r="QS91" s="1148"/>
      <c r="QT91" s="1148"/>
      <c r="QU91" s="1148"/>
      <c r="QV91" s="1148"/>
      <c r="QW91" s="1148"/>
      <c r="QX91" s="1148"/>
      <c r="QY91" s="1148"/>
      <c r="QZ91" s="1148"/>
      <c r="RA91" s="1148"/>
      <c r="RB91" s="1148"/>
      <c r="RC91" s="1148"/>
      <c r="RD91" s="1148"/>
      <c r="RE91" s="1148"/>
      <c r="RF91" s="1148"/>
      <c r="RG91" s="1148"/>
      <c r="RH91" s="1148"/>
      <c r="RI91" s="1148"/>
      <c r="RJ91" s="1148"/>
      <c r="RK91" s="1148"/>
      <c r="RL91" s="1148"/>
      <c r="RM91" s="1148"/>
      <c r="RN91" s="1148"/>
      <c r="RO91" s="1148"/>
      <c r="RP91" s="1148"/>
      <c r="RQ91" s="1148"/>
      <c r="RR91" s="1148"/>
      <c r="RS91" s="1148"/>
      <c r="RT91" s="1148"/>
      <c r="RU91" s="1148"/>
      <c r="RV91" s="1148"/>
      <c r="RW91" s="1148"/>
      <c r="RX91" s="1148"/>
      <c r="RY91" s="1148"/>
      <c r="RZ91" s="1148"/>
      <c r="SA91" s="1148"/>
      <c r="SB91" s="1148"/>
      <c r="SC91" s="1148"/>
      <c r="SD91" s="1148"/>
      <c r="SE91" s="1148"/>
      <c r="SF91" s="1148"/>
      <c r="SG91" s="1148"/>
      <c r="SH91" s="1148"/>
      <c r="SI91" s="1148"/>
      <c r="SJ91" s="1148"/>
      <c r="SK91" s="1148"/>
      <c r="SL91" s="1148"/>
      <c r="SM91" s="1148"/>
      <c r="SN91" s="1148"/>
      <c r="SO91" s="1148"/>
      <c r="SP91" s="1148"/>
      <c r="SQ91" s="1148"/>
      <c r="SR91" s="1148"/>
      <c r="SS91" s="1148"/>
      <c r="ST91" s="1148"/>
      <c r="SU91" s="1148"/>
      <c r="SV91" s="1148"/>
      <c r="SW91" s="1148"/>
      <c r="SX91" s="1148"/>
      <c r="SY91" s="1148"/>
      <c r="SZ91" s="1148"/>
      <c r="TA91" s="1148"/>
      <c r="TB91" s="1148"/>
      <c r="TC91" s="1148"/>
      <c r="TD91" s="1148"/>
      <c r="TE91" s="1148"/>
      <c r="TF91" s="1148"/>
      <c r="TG91" s="1148"/>
      <c r="TH91" s="1148"/>
      <c r="TI91" s="1148"/>
      <c r="TJ91" s="1148"/>
      <c r="TK91" s="1148"/>
      <c r="TL91" s="1148"/>
      <c r="TM91" s="1148"/>
      <c r="TN91" s="1148"/>
      <c r="TO91" s="1148"/>
      <c r="TP91" s="1148"/>
      <c r="TQ91" s="1148"/>
      <c r="TR91" s="1148"/>
      <c r="TS91" s="1148"/>
      <c r="TT91" s="1148"/>
      <c r="TU91" s="1148"/>
      <c r="TV91" s="1148"/>
      <c r="TW91" s="1148"/>
      <c r="TX91" s="1148"/>
      <c r="TY91" s="1148"/>
      <c r="TZ91" s="1148"/>
      <c r="UA91" s="1148"/>
      <c r="UB91" s="1148"/>
      <c r="UC91" s="1148"/>
      <c r="UD91" s="1148"/>
      <c r="UE91" s="1148"/>
      <c r="UF91" s="1148"/>
      <c r="UG91" s="1148"/>
      <c r="UH91" s="1148"/>
      <c r="UI91" s="1148"/>
      <c r="UJ91" s="1148"/>
      <c r="UK91" s="1148"/>
      <c r="UL91" s="1148"/>
      <c r="UM91" s="1148"/>
      <c r="UN91" s="1148"/>
      <c r="UO91" s="1148"/>
      <c r="UP91" s="1148"/>
      <c r="UQ91" s="1148"/>
      <c r="UR91" s="1148"/>
      <c r="US91" s="1148"/>
      <c r="UT91" s="1148"/>
      <c r="UU91" s="1148"/>
      <c r="UV91" s="1148"/>
      <c r="UW91" s="1148"/>
      <c r="UX91" s="1148"/>
      <c r="UY91" s="1148"/>
      <c r="UZ91" s="1148"/>
      <c r="VA91" s="1148"/>
      <c r="VB91" s="1148"/>
      <c r="VC91" s="1148"/>
      <c r="VD91" s="1148"/>
      <c r="VE91" s="1148"/>
      <c r="VF91" s="1148"/>
      <c r="VG91" s="1148"/>
      <c r="VH91" s="1148"/>
      <c r="VI91" s="1148"/>
      <c r="VJ91" s="1148"/>
      <c r="VK91" s="1148"/>
      <c r="VL91" s="1148"/>
      <c r="VM91" s="1148"/>
      <c r="VN91" s="1148"/>
      <c r="VO91" s="1148"/>
      <c r="VP91" s="1148"/>
      <c r="VQ91" s="1148"/>
      <c r="VR91" s="1148"/>
      <c r="VS91" s="1148"/>
      <c r="VT91" s="1148"/>
      <c r="VU91" s="1148"/>
      <c r="VV91" s="1148"/>
      <c r="VW91" s="1148"/>
      <c r="VX91" s="1148"/>
      <c r="VY91" s="1148"/>
      <c r="VZ91" s="1148"/>
      <c r="WA91" s="1148"/>
      <c r="WB91" s="1148"/>
      <c r="WC91" s="1148"/>
      <c r="WD91" s="1148"/>
      <c r="WE91" s="1148"/>
      <c r="WF91" s="1148"/>
      <c r="WG91" s="1148"/>
      <c r="WH91" s="1148"/>
      <c r="WI91" s="1148"/>
      <c r="WJ91" s="1148"/>
      <c r="WK91" s="1148"/>
      <c r="WL91" s="1148"/>
      <c r="WM91" s="1148"/>
      <c r="WN91" s="1148"/>
      <c r="WO91" s="1148"/>
      <c r="WP91" s="1148"/>
      <c r="WQ91" s="1148"/>
      <c r="WR91" s="1148"/>
      <c r="WS91" s="1148"/>
      <c r="WT91" s="1148"/>
      <c r="WU91" s="1148"/>
      <c r="WV91" s="1148"/>
      <c r="WW91" s="1148"/>
      <c r="WX91" s="1148"/>
      <c r="WY91" s="1148"/>
      <c r="WZ91" s="1148"/>
      <c r="XA91" s="1148"/>
      <c r="XB91" s="1148"/>
      <c r="XC91" s="1148"/>
      <c r="XD91" s="1148"/>
      <c r="XE91" s="1148"/>
      <c r="XF91" s="1148"/>
      <c r="XG91" s="1148"/>
      <c r="XH91" s="1148"/>
      <c r="XI91" s="1148"/>
      <c r="XJ91" s="1148"/>
      <c r="XK91" s="1148"/>
      <c r="XL91" s="1148"/>
      <c r="XM91" s="1148"/>
      <c r="XN91" s="1148"/>
      <c r="XO91" s="1148"/>
      <c r="XP91" s="1148"/>
      <c r="XQ91" s="1148"/>
      <c r="XR91" s="1148"/>
      <c r="XS91" s="1148"/>
      <c r="XT91" s="1148"/>
      <c r="XU91" s="1148"/>
      <c r="XV91" s="1148"/>
      <c r="XW91" s="1148"/>
      <c r="XX91" s="1148"/>
      <c r="XY91" s="1148"/>
      <c r="XZ91" s="1148"/>
      <c r="YA91" s="1148"/>
      <c r="YB91" s="1148"/>
      <c r="YC91" s="1148"/>
      <c r="YD91" s="1148"/>
      <c r="YE91" s="1148"/>
      <c r="YF91" s="1148"/>
      <c r="YG91" s="1148"/>
      <c r="YH91" s="1148"/>
      <c r="YI91" s="1148"/>
      <c r="YJ91" s="1148"/>
      <c r="YK91" s="1148"/>
      <c r="YL91" s="1148"/>
      <c r="YM91" s="1148"/>
      <c r="YN91" s="1148"/>
      <c r="YO91" s="1148"/>
      <c r="YP91" s="1148"/>
      <c r="YQ91" s="1148"/>
      <c r="YR91" s="1148"/>
      <c r="YS91" s="1148"/>
      <c r="YT91" s="1148"/>
      <c r="YU91" s="1148"/>
      <c r="YV91" s="1148"/>
      <c r="YW91" s="1148"/>
      <c r="YX91" s="1148"/>
      <c r="YY91" s="1148"/>
      <c r="YZ91" s="1148"/>
      <c r="ZA91" s="1148"/>
      <c r="ZB91" s="1148"/>
      <c r="ZC91" s="1148"/>
      <c r="ZD91" s="1148"/>
      <c r="ZE91" s="1148"/>
      <c r="ZF91" s="1148"/>
      <c r="ZG91" s="1148"/>
      <c r="ZH91" s="1148"/>
      <c r="ZI91" s="1148"/>
      <c r="ZJ91" s="1148"/>
      <c r="ZK91" s="1148"/>
      <c r="ZL91" s="1148"/>
      <c r="ZM91" s="1148"/>
      <c r="ZN91" s="1148"/>
      <c r="ZO91" s="1148"/>
      <c r="ZP91" s="1148"/>
      <c r="ZQ91" s="1148"/>
      <c r="ZR91" s="1148"/>
      <c r="ZS91" s="1148"/>
      <c r="ZT91" s="1148"/>
      <c r="ZU91" s="1148"/>
      <c r="ZV91" s="1148"/>
      <c r="ZW91" s="1148"/>
      <c r="ZX91" s="1148"/>
      <c r="ZY91" s="1148"/>
      <c r="ZZ91" s="1148"/>
      <c r="AAA91" s="1148"/>
      <c r="AAB91" s="1148"/>
      <c r="AAC91" s="1148"/>
      <c r="AAD91" s="1148"/>
      <c r="AAE91" s="1148"/>
      <c r="AAF91" s="1148"/>
      <c r="AAG91" s="1148"/>
      <c r="AAH91" s="1148"/>
      <c r="AAI91" s="1148"/>
      <c r="AAJ91" s="1148"/>
      <c r="AAK91" s="1148"/>
      <c r="AAL91" s="1148"/>
      <c r="AAM91" s="1148"/>
      <c r="AAN91" s="1148"/>
      <c r="AAO91" s="1148"/>
      <c r="AAP91" s="1148"/>
      <c r="AAQ91" s="1148"/>
      <c r="AAR91" s="1148"/>
      <c r="AAS91" s="1148"/>
      <c r="AAT91" s="1148"/>
      <c r="AAU91" s="1148"/>
      <c r="AAV91" s="1148"/>
      <c r="AAW91" s="1148"/>
      <c r="AAX91" s="1148"/>
      <c r="AAY91" s="1148"/>
      <c r="AAZ91" s="1148"/>
      <c r="ABA91" s="1148"/>
      <c r="ABB91" s="1148"/>
      <c r="ABC91" s="1148"/>
      <c r="ABD91" s="1148"/>
      <c r="ABE91" s="1148"/>
      <c r="ABF91" s="1148"/>
      <c r="ABG91" s="1148"/>
      <c r="ABH91" s="1148"/>
      <c r="ABI91" s="1148"/>
      <c r="ABJ91" s="1148"/>
      <c r="ABK91" s="1148"/>
      <c r="ABL91" s="1148"/>
      <c r="ABM91" s="1148"/>
      <c r="ABN91" s="1148"/>
      <c r="ABO91" s="1148"/>
      <c r="ABP91" s="1148"/>
      <c r="ABQ91" s="1148"/>
      <c r="ABR91" s="1148"/>
      <c r="ABS91" s="1148"/>
      <c r="ABT91" s="1148"/>
      <c r="ABU91" s="1148"/>
      <c r="ABV91" s="1148"/>
      <c r="ABW91" s="1148"/>
      <c r="ABX91" s="1148"/>
      <c r="ABY91" s="1148"/>
      <c r="ABZ91" s="1148"/>
      <c r="ACA91" s="1148"/>
      <c r="ACB91" s="1148"/>
      <c r="ACC91" s="1148"/>
      <c r="ACD91" s="1148"/>
      <c r="ACE91" s="1148"/>
      <c r="ACF91" s="1148"/>
      <c r="ACG91" s="1148"/>
      <c r="ACH91" s="1148"/>
      <c r="ACI91" s="1148"/>
      <c r="ACJ91" s="1148"/>
      <c r="ACK91" s="1148"/>
      <c r="ACL91" s="1148"/>
      <c r="ACM91" s="1148"/>
      <c r="ACN91" s="1148"/>
      <c r="ACO91" s="1148"/>
      <c r="ACP91" s="1148"/>
      <c r="ACQ91" s="1148"/>
      <c r="ACR91" s="1148"/>
      <c r="ACS91" s="1148"/>
      <c r="ACT91" s="1148"/>
      <c r="ACU91" s="1148"/>
      <c r="ACV91" s="1148"/>
      <c r="ACW91" s="1148"/>
      <c r="ACX91" s="1148"/>
      <c r="ACY91" s="1148"/>
      <c r="ACZ91" s="1148"/>
      <c r="ADA91" s="1148"/>
      <c r="ADB91" s="1148"/>
      <c r="ADC91" s="1148"/>
      <c r="ADD91" s="1148"/>
      <c r="ADE91" s="1148"/>
      <c r="ADF91" s="1148"/>
      <c r="ADG91" s="1148"/>
      <c r="ADH91" s="1148"/>
      <c r="ADI91" s="1148"/>
      <c r="ADJ91" s="1148"/>
      <c r="ADK91" s="1148"/>
      <c r="ADL91" s="1148"/>
      <c r="ADM91" s="1148"/>
      <c r="ADN91" s="1148"/>
      <c r="ADO91" s="1148"/>
      <c r="ADP91" s="1148"/>
      <c r="ADQ91" s="1148"/>
      <c r="ADR91" s="1148"/>
      <c r="ADS91" s="1148"/>
      <c r="ADT91" s="1148"/>
      <c r="ADU91" s="1148"/>
      <c r="ADV91" s="1148"/>
      <c r="ADW91" s="1148"/>
      <c r="ADX91" s="1148"/>
      <c r="ADY91" s="1148"/>
      <c r="ADZ91" s="1148"/>
      <c r="AEA91" s="1148"/>
      <c r="AEB91" s="1148"/>
      <c r="AEC91" s="1148"/>
      <c r="AED91" s="1148"/>
      <c r="AEE91" s="1148"/>
      <c r="AEF91" s="1148"/>
      <c r="AEG91" s="1148"/>
      <c r="AEH91" s="1148"/>
      <c r="AEI91" s="1148"/>
      <c r="AEJ91" s="1148"/>
      <c r="AEK91" s="1148"/>
      <c r="AEL91" s="1148"/>
      <c r="AEM91" s="1148"/>
      <c r="AEN91" s="1148"/>
      <c r="AEO91" s="1148"/>
      <c r="AEP91" s="1148"/>
      <c r="AEQ91" s="1148"/>
      <c r="AER91" s="1148"/>
      <c r="AES91" s="1148"/>
      <c r="AET91" s="1148"/>
      <c r="AEU91" s="1148"/>
      <c r="AEV91" s="1148"/>
      <c r="AEW91" s="1148"/>
      <c r="AEX91" s="1148"/>
      <c r="AEY91" s="1148"/>
      <c r="AEZ91" s="1148"/>
      <c r="AFA91" s="1148"/>
      <c r="AFB91" s="1148"/>
      <c r="AFC91" s="1148"/>
      <c r="AFD91" s="1148"/>
      <c r="AFE91" s="1148"/>
      <c r="AFF91" s="1148"/>
      <c r="AFG91" s="1148"/>
      <c r="AFH91" s="1148"/>
      <c r="AFI91" s="1148"/>
      <c r="AFJ91" s="1148"/>
      <c r="AFK91" s="1148"/>
      <c r="AFL91" s="1148"/>
      <c r="AFM91" s="1148"/>
      <c r="AFN91" s="1148"/>
      <c r="AFO91" s="1148"/>
      <c r="AFP91" s="1148"/>
      <c r="AFQ91" s="1148"/>
      <c r="AFR91" s="1148"/>
      <c r="AFS91" s="1148"/>
      <c r="AFT91" s="1148"/>
      <c r="AFU91" s="1148"/>
      <c r="AFV91" s="1148"/>
      <c r="AFW91" s="1148"/>
      <c r="AFX91" s="1148"/>
      <c r="AFY91" s="1148"/>
      <c r="AFZ91" s="1148"/>
      <c r="AGA91" s="1148"/>
      <c r="AGB91" s="1148"/>
      <c r="AGC91" s="1148"/>
      <c r="AGD91" s="1148"/>
      <c r="AGE91" s="1148"/>
      <c r="AGF91" s="1148"/>
      <c r="AGG91" s="1148"/>
      <c r="AGH91" s="1148"/>
      <c r="AGI91" s="1148"/>
      <c r="AGJ91" s="1148"/>
      <c r="AGK91" s="1148"/>
      <c r="AGL91" s="1148"/>
      <c r="AGM91" s="1148"/>
      <c r="AGN91" s="1148"/>
      <c r="AGO91" s="1148"/>
      <c r="AGP91" s="1148"/>
      <c r="AGQ91" s="1148"/>
      <c r="AGR91" s="1148"/>
      <c r="AGS91" s="1148"/>
      <c r="AGT91" s="1148"/>
      <c r="AGU91" s="1148"/>
      <c r="AGV91" s="1148"/>
      <c r="AGW91" s="1148"/>
    </row>
    <row r="92" spans="1:881" s="1148" customFormat="1" ht="59.25" customHeight="1" x14ac:dyDescent="0.2">
      <c r="A92" s="3551"/>
      <c r="B92" s="3552"/>
      <c r="C92" s="3553"/>
      <c r="D92" s="3775"/>
      <c r="E92" s="3775"/>
      <c r="F92" s="3776"/>
      <c r="G92" s="1199"/>
      <c r="H92" s="1199"/>
      <c r="I92" s="1199"/>
      <c r="J92" s="3782"/>
      <c r="K92" s="3626"/>
      <c r="L92" s="3674"/>
      <c r="M92" s="3782"/>
      <c r="N92" s="3784"/>
      <c r="O92" s="3674"/>
      <c r="P92" s="3606"/>
      <c r="Q92" s="3627"/>
      <c r="R92" s="1189">
        <f>W92/S91</f>
        <v>0.33333333333333331</v>
      </c>
      <c r="S92" s="3786"/>
      <c r="T92" s="3627"/>
      <c r="U92" s="2331" t="s">
        <v>937</v>
      </c>
      <c r="V92" s="1197" t="s">
        <v>938</v>
      </c>
      <c r="W92" s="2353">
        <v>1000000</v>
      </c>
      <c r="X92" s="1198">
        <v>1000000</v>
      </c>
      <c r="Y92" s="1198">
        <v>1000000</v>
      </c>
      <c r="Z92" s="3606"/>
      <c r="AA92" s="3673"/>
      <c r="AB92" s="3785"/>
      <c r="AC92" s="3484"/>
      <c r="AD92" s="3785"/>
      <c r="AE92" s="3484"/>
      <c r="AF92" s="3785"/>
      <c r="AG92" s="3484"/>
      <c r="AH92" s="3785"/>
      <c r="AI92" s="3484"/>
      <c r="AJ92" s="3785"/>
      <c r="AK92" s="3484"/>
      <c r="AL92" s="3785"/>
      <c r="AM92" s="3484"/>
      <c r="AN92" s="3785"/>
      <c r="AO92" s="3484"/>
      <c r="AP92" s="3785"/>
      <c r="AQ92" s="3484"/>
      <c r="AR92" s="3782"/>
      <c r="AS92" s="3784"/>
      <c r="AT92" s="3782"/>
      <c r="AU92" s="3784"/>
      <c r="AV92" s="3487"/>
      <c r="AW92" s="3484"/>
      <c r="AX92" s="3674"/>
      <c r="AY92" s="3797"/>
      <c r="AZ92" s="3782"/>
      <c r="BA92" s="3795"/>
      <c r="BB92" s="3795"/>
      <c r="BC92" s="3652"/>
      <c r="BD92" s="3782"/>
      <c r="BE92" s="3782"/>
      <c r="BF92" s="3792"/>
      <c r="BG92" s="3790"/>
      <c r="BH92" s="3792"/>
      <c r="BI92" s="3790"/>
      <c r="BJ92" s="3780"/>
    </row>
    <row r="93" spans="1:881" ht="41.25" customHeight="1" x14ac:dyDescent="0.2">
      <c r="A93" s="3551"/>
      <c r="B93" s="3552"/>
      <c r="C93" s="3553"/>
      <c r="D93" s="3775"/>
      <c r="E93" s="3775"/>
      <c r="F93" s="3776"/>
      <c r="G93" s="1200"/>
      <c r="H93" s="1200"/>
      <c r="I93" s="1201"/>
      <c r="J93" s="3744">
        <v>50</v>
      </c>
      <c r="K93" s="3637" t="s">
        <v>924</v>
      </c>
      <c r="L93" s="3742" t="s">
        <v>19</v>
      </c>
      <c r="M93" s="3744">
        <v>2</v>
      </c>
      <c r="N93" s="3631">
        <v>2</v>
      </c>
      <c r="O93" s="3560" t="s">
        <v>939</v>
      </c>
      <c r="P93" s="3657">
        <v>59</v>
      </c>
      <c r="Q93" s="3637" t="s">
        <v>940</v>
      </c>
      <c r="R93" s="3645">
        <v>1</v>
      </c>
      <c r="S93" s="3650">
        <v>52000000</v>
      </c>
      <c r="T93" s="3637" t="s">
        <v>941</v>
      </c>
      <c r="U93" s="3637" t="s">
        <v>942</v>
      </c>
      <c r="V93" s="3787" t="s">
        <v>943</v>
      </c>
      <c r="W93" s="3582">
        <v>32000000</v>
      </c>
      <c r="X93" s="3601">
        <v>30916000</v>
      </c>
      <c r="Y93" s="3601">
        <v>30916000</v>
      </c>
      <c r="Z93" s="3657">
        <v>20</v>
      </c>
      <c r="AA93" s="3560" t="s">
        <v>944</v>
      </c>
      <c r="AB93" s="3762">
        <v>64149</v>
      </c>
      <c r="AC93" s="3757">
        <f>+AB93/($W$93+$W$95)*$Y$93</f>
        <v>38139.047769230769</v>
      </c>
      <c r="AD93" s="3762" t="s">
        <v>811</v>
      </c>
      <c r="AE93" s="3757">
        <f>+AD93/($W$93+$W$95)*$Y$93</f>
        <v>42939.945846153845</v>
      </c>
      <c r="AF93" s="3762" t="s">
        <v>812</v>
      </c>
      <c r="AG93" s="3757">
        <f>+AF93/($W$93+$W$95)*$Y$93</f>
        <v>16336.133307692309</v>
      </c>
      <c r="AH93" s="3762" t="s">
        <v>813</v>
      </c>
      <c r="AI93" s="3757">
        <f>+AH93/($W$93+$W$95)*$Y$93</f>
        <v>51631.503615384616</v>
      </c>
      <c r="AJ93" s="3762" t="s">
        <v>814</v>
      </c>
      <c r="AK93" s="3757">
        <f>+AJ93/($W$93+$W$95)*$Y$93</f>
        <v>140566.13392307694</v>
      </c>
      <c r="AL93" s="3762" t="s">
        <v>815</v>
      </c>
      <c r="AM93" s="3757">
        <f>+AL93/($W$93+$W$95)*$Y$93</f>
        <v>48385.918153846156</v>
      </c>
      <c r="AN93" s="3762">
        <v>13208</v>
      </c>
      <c r="AO93" s="3757">
        <f>+AN93/($W$93+$W$95)*$Y$93</f>
        <v>7852.6639999999998</v>
      </c>
      <c r="AP93" s="3762">
        <v>1827</v>
      </c>
      <c r="AQ93" s="3757">
        <f>+AP93/($W$93+$W$95)*$Y$93</f>
        <v>1086.2217692307693</v>
      </c>
      <c r="AR93" s="3762"/>
      <c r="AS93" s="3757"/>
      <c r="AT93" s="3762"/>
      <c r="AU93" s="3757"/>
      <c r="AV93" s="3762">
        <v>16897</v>
      </c>
      <c r="AW93" s="3757">
        <f>+AV93/($W$93+$W$95)*$Y$93</f>
        <v>10045.916384615386</v>
      </c>
      <c r="AX93" s="3762">
        <v>81384</v>
      </c>
      <c r="AY93" s="3757">
        <f>+AX93/($W$93+$W$95)*$Y$93</f>
        <v>48385.918153846156</v>
      </c>
      <c r="AZ93" s="3639" t="s">
        <v>945</v>
      </c>
      <c r="BA93" s="3811">
        <v>6399000</v>
      </c>
      <c r="BB93" s="3639">
        <v>6399000</v>
      </c>
      <c r="BC93" s="3652">
        <f>+BB93/BA93</f>
        <v>1</v>
      </c>
      <c r="BD93" s="3562" t="s">
        <v>946</v>
      </c>
      <c r="BE93" s="3798" t="s">
        <v>915</v>
      </c>
      <c r="BF93" s="3755">
        <v>42597</v>
      </c>
      <c r="BG93" s="3746">
        <v>42621</v>
      </c>
      <c r="BH93" s="3755">
        <v>42735</v>
      </c>
      <c r="BI93" s="3809">
        <v>42727</v>
      </c>
      <c r="BJ93" s="3780"/>
    </row>
    <row r="94" spans="1:881" ht="41.25" customHeight="1" x14ac:dyDescent="0.2">
      <c r="A94" s="3551"/>
      <c r="B94" s="3552"/>
      <c r="C94" s="3553"/>
      <c r="D94" s="3775"/>
      <c r="E94" s="3775"/>
      <c r="F94" s="3776"/>
      <c r="G94" s="1200"/>
      <c r="H94" s="1200"/>
      <c r="I94" s="1201"/>
      <c r="J94" s="3639"/>
      <c r="K94" s="3563"/>
      <c r="L94" s="3793"/>
      <c r="M94" s="3639"/>
      <c r="N94" s="3632"/>
      <c r="O94" s="3634"/>
      <c r="P94" s="3636"/>
      <c r="Q94" s="3563"/>
      <c r="R94" s="3652"/>
      <c r="S94" s="3710"/>
      <c r="T94" s="3563"/>
      <c r="U94" s="3563"/>
      <c r="V94" s="3788"/>
      <c r="W94" s="3650"/>
      <c r="X94" s="3603"/>
      <c r="Y94" s="3603"/>
      <c r="Z94" s="3636"/>
      <c r="AA94" s="3634"/>
      <c r="AB94" s="3801"/>
      <c r="AC94" s="3758"/>
      <c r="AD94" s="3801"/>
      <c r="AE94" s="3758"/>
      <c r="AF94" s="3801"/>
      <c r="AG94" s="3758"/>
      <c r="AH94" s="3801"/>
      <c r="AI94" s="3758"/>
      <c r="AJ94" s="3801"/>
      <c r="AK94" s="3758"/>
      <c r="AL94" s="3801"/>
      <c r="AM94" s="3758"/>
      <c r="AN94" s="3801"/>
      <c r="AO94" s="3758"/>
      <c r="AP94" s="3801"/>
      <c r="AQ94" s="3758"/>
      <c r="AR94" s="3801"/>
      <c r="AS94" s="3758"/>
      <c r="AT94" s="3801"/>
      <c r="AU94" s="3758"/>
      <c r="AV94" s="3801"/>
      <c r="AW94" s="3758"/>
      <c r="AX94" s="3801"/>
      <c r="AY94" s="3758"/>
      <c r="AZ94" s="3639"/>
      <c r="BA94" s="3811"/>
      <c r="BB94" s="3639"/>
      <c r="BC94" s="3652"/>
      <c r="BD94" s="3639"/>
      <c r="BE94" s="3799"/>
      <c r="BF94" s="3756"/>
      <c r="BG94" s="3747"/>
      <c r="BH94" s="3756"/>
      <c r="BI94" s="3809"/>
      <c r="BJ94" s="3780"/>
    </row>
    <row r="95" spans="1:881" ht="30.75" customHeight="1" x14ac:dyDescent="0.2">
      <c r="A95" s="3551"/>
      <c r="B95" s="3552"/>
      <c r="C95" s="3553"/>
      <c r="D95" s="3775"/>
      <c r="E95" s="3775"/>
      <c r="F95" s="3776"/>
      <c r="G95" s="1200"/>
      <c r="H95" s="1200"/>
      <c r="I95" s="1201"/>
      <c r="J95" s="3639"/>
      <c r="K95" s="3563"/>
      <c r="L95" s="3793"/>
      <c r="M95" s="3639"/>
      <c r="N95" s="3632"/>
      <c r="O95" s="3634"/>
      <c r="P95" s="3636"/>
      <c r="Q95" s="3563"/>
      <c r="R95" s="3652"/>
      <c r="S95" s="3710"/>
      <c r="T95" s="3563"/>
      <c r="U95" s="3563"/>
      <c r="V95" s="3788"/>
      <c r="W95" s="3583">
        <v>20000000</v>
      </c>
      <c r="X95" s="3602">
        <v>13410000</v>
      </c>
      <c r="Y95" s="3602">
        <v>13410000</v>
      </c>
      <c r="Z95" s="3636">
        <v>52</v>
      </c>
      <c r="AA95" s="3634"/>
      <c r="AB95" s="3801"/>
      <c r="AC95" s="3758"/>
      <c r="AD95" s="3801"/>
      <c r="AE95" s="3758"/>
      <c r="AF95" s="3801"/>
      <c r="AG95" s="3758"/>
      <c r="AH95" s="3801"/>
      <c r="AI95" s="3758"/>
      <c r="AJ95" s="3801"/>
      <c r="AK95" s="3758"/>
      <c r="AL95" s="3801"/>
      <c r="AM95" s="3758"/>
      <c r="AN95" s="3801"/>
      <c r="AO95" s="3758"/>
      <c r="AP95" s="3801"/>
      <c r="AQ95" s="3758"/>
      <c r="AR95" s="3801"/>
      <c r="AS95" s="3758"/>
      <c r="AT95" s="3801"/>
      <c r="AU95" s="3758"/>
      <c r="AV95" s="3801"/>
      <c r="AW95" s="3758"/>
      <c r="AX95" s="3801"/>
      <c r="AY95" s="3758"/>
      <c r="AZ95" s="3804" t="s">
        <v>947</v>
      </c>
      <c r="BA95" s="3810">
        <v>7200000</v>
      </c>
      <c r="BB95" s="3639">
        <v>7200000</v>
      </c>
      <c r="BC95" s="3652">
        <f>+BB95/BA95</f>
        <v>1</v>
      </c>
      <c r="BD95" s="3562" t="s">
        <v>948</v>
      </c>
      <c r="BE95" s="3799"/>
      <c r="BF95" s="3755">
        <v>42597</v>
      </c>
      <c r="BG95" s="3746">
        <v>42612</v>
      </c>
      <c r="BH95" s="3755">
        <v>42735</v>
      </c>
      <c r="BI95" s="3746">
        <v>42733</v>
      </c>
      <c r="BJ95" s="3780"/>
    </row>
    <row r="96" spans="1:881" ht="38.25" customHeight="1" x14ac:dyDescent="0.2">
      <c r="A96" s="3551"/>
      <c r="B96" s="3552"/>
      <c r="C96" s="3553"/>
      <c r="D96" s="3775"/>
      <c r="E96" s="3775"/>
      <c r="F96" s="3776"/>
      <c r="G96" s="1200"/>
      <c r="H96" s="1200"/>
      <c r="I96" s="1201"/>
      <c r="J96" s="3639"/>
      <c r="K96" s="3563"/>
      <c r="L96" s="3793"/>
      <c r="M96" s="3639"/>
      <c r="N96" s="3632"/>
      <c r="O96" s="2340"/>
      <c r="P96" s="3636"/>
      <c r="Q96" s="3563"/>
      <c r="R96" s="3652"/>
      <c r="S96" s="3710"/>
      <c r="T96" s="3563"/>
      <c r="U96" s="3563"/>
      <c r="V96" s="3788"/>
      <c r="W96" s="3583"/>
      <c r="X96" s="3602"/>
      <c r="Y96" s="3602"/>
      <c r="Z96" s="3636"/>
      <c r="AA96" s="3634"/>
      <c r="AB96" s="3801"/>
      <c r="AC96" s="3758"/>
      <c r="AD96" s="3801"/>
      <c r="AE96" s="3758"/>
      <c r="AF96" s="3801"/>
      <c r="AG96" s="3758"/>
      <c r="AH96" s="3801"/>
      <c r="AI96" s="3758"/>
      <c r="AJ96" s="3801"/>
      <c r="AK96" s="3758"/>
      <c r="AL96" s="3801"/>
      <c r="AM96" s="3758"/>
      <c r="AN96" s="3801"/>
      <c r="AO96" s="3758"/>
      <c r="AP96" s="3801"/>
      <c r="AQ96" s="3758"/>
      <c r="AR96" s="3801"/>
      <c r="AS96" s="3758"/>
      <c r="AT96" s="3801"/>
      <c r="AU96" s="3758"/>
      <c r="AV96" s="3801"/>
      <c r="AW96" s="3758"/>
      <c r="AX96" s="3801"/>
      <c r="AY96" s="3758"/>
      <c r="AZ96" s="3804"/>
      <c r="BA96" s="3810"/>
      <c r="BB96" s="3639"/>
      <c r="BC96" s="3652"/>
      <c r="BD96" s="3639"/>
      <c r="BE96" s="3799"/>
      <c r="BF96" s="3756"/>
      <c r="BG96" s="3747"/>
      <c r="BH96" s="3756"/>
      <c r="BI96" s="3747"/>
      <c r="BJ96" s="3780"/>
    </row>
    <row r="97" spans="1:508" ht="36" customHeight="1" x14ac:dyDescent="0.2">
      <c r="A97" s="3551"/>
      <c r="B97" s="3552"/>
      <c r="C97" s="3553"/>
      <c r="D97" s="3775"/>
      <c r="E97" s="3775"/>
      <c r="F97" s="3776"/>
      <c r="G97" s="1200"/>
      <c r="H97" s="1200"/>
      <c r="I97" s="1201"/>
      <c r="J97" s="3639"/>
      <c r="K97" s="3563"/>
      <c r="L97" s="3793"/>
      <c r="M97" s="3639"/>
      <c r="N97" s="3632"/>
      <c r="O97" s="2308"/>
      <c r="P97" s="3636"/>
      <c r="Q97" s="3563"/>
      <c r="R97" s="3652"/>
      <c r="S97" s="3710"/>
      <c r="T97" s="3563"/>
      <c r="U97" s="3563"/>
      <c r="V97" s="3788"/>
      <c r="W97" s="3583"/>
      <c r="X97" s="3602"/>
      <c r="Y97" s="3602"/>
      <c r="Z97" s="3636"/>
      <c r="AA97" s="3634"/>
      <c r="AB97" s="3801"/>
      <c r="AC97" s="3758"/>
      <c r="AD97" s="3801"/>
      <c r="AE97" s="3758"/>
      <c r="AF97" s="3801"/>
      <c r="AG97" s="3758"/>
      <c r="AH97" s="3801"/>
      <c r="AI97" s="3758"/>
      <c r="AJ97" s="3801"/>
      <c r="AK97" s="3758"/>
      <c r="AL97" s="3801"/>
      <c r="AM97" s="3758"/>
      <c r="AN97" s="3801"/>
      <c r="AO97" s="3758"/>
      <c r="AP97" s="3801"/>
      <c r="AQ97" s="3758"/>
      <c r="AR97" s="3801"/>
      <c r="AS97" s="3758"/>
      <c r="AT97" s="3801"/>
      <c r="AU97" s="3758"/>
      <c r="AV97" s="3801"/>
      <c r="AW97" s="3758"/>
      <c r="AX97" s="3801"/>
      <c r="AY97" s="3758"/>
      <c r="AZ97" s="1147" t="s">
        <v>949</v>
      </c>
      <c r="BA97" s="2370">
        <v>11317000</v>
      </c>
      <c r="BB97" s="2323">
        <v>11317000</v>
      </c>
      <c r="BC97" s="1147">
        <v>100</v>
      </c>
      <c r="BD97" s="2347" t="s">
        <v>950</v>
      </c>
      <c r="BE97" s="3799"/>
      <c r="BF97" s="2342">
        <v>42597</v>
      </c>
      <c r="BG97" s="2341">
        <v>75499</v>
      </c>
      <c r="BH97" s="2342">
        <v>42735</v>
      </c>
      <c r="BI97" s="2341">
        <v>42725</v>
      </c>
      <c r="BJ97" s="3780"/>
    </row>
    <row r="98" spans="1:508" ht="34.5" customHeight="1" x14ac:dyDescent="0.2">
      <c r="A98" s="3551"/>
      <c r="B98" s="3552"/>
      <c r="C98" s="3553"/>
      <c r="D98" s="3775"/>
      <c r="E98" s="3775"/>
      <c r="F98" s="3776"/>
      <c r="G98" s="1200"/>
      <c r="H98" s="1200"/>
      <c r="I98" s="1201"/>
      <c r="J98" s="3639"/>
      <c r="K98" s="3563"/>
      <c r="L98" s="3793"/>
      <c r="M98" s="3639"/>
      <c r="N98" s="3632"/>
      <c r="O98" s="2308"/>
      <c r="P98" s="3636"/>
      <c r="Q98" s="3563"/>
      <c r="R98" s="3652"/>
      <c r="S98" s="3710"/>
      <c r="T98" s="3563"/>
      <c r="U98" s="3563"/>
      <c r="V98" s="3788"/>
      <c r="W98" s="3583"/>
      <c r="X98" s="3602"/>
      <c r="Y98" s="3602"/>
      <c r="Z98" s="3636"/>
      <c r="AA98" s="3634"/>
      <c r="AB98" s="3801"/>
      <c r="AC98" s="3758"/>
      <c r="AD98" s="3801"/>
      <c r="AE98" s="3758"/>
      <c r="AF98" s="3801"/>
      <c r="AG98" s="3758"/>
      <c r="AH98" s="3801"/>
      <c r="AI98" s="3758"/>
      <c r="AJ98" s="3801"/>
      <c r="AK98" s="3758"/>
      <c r="AL98" s="3801"/>
      <c r="AM98" s="3758"/>
      <c r="AN98" s="3801"/>
      <c r="AO98" s="3758"/>
      <c r="AP98" s="3801"/>
      <c r="AQ98" s="3758"/>
      <c r="AR98" s="3801"/>
      <c r="AS98" s="3758"/>
      <c r="AT98" s="3801"/>
      <c r="AU98" s="3758"/>
      <c r="AV98" s="3801"/>
      <c r="AW98" s="3758"/>
      <c r="AX98" s="3801"/>
      <c r="AY98" s="3758"/>
      <c r="AZ98" s="1166" t="s">
        <v>951</v>
      </c>
      <c r="BA98" s="2344">
        <v>6000000</v>
      </c>
      <c r="BB98" s="2324">
        <v>6000000</v>
      </c>
      <c r="BC98" s="1166">
        <v>100</v>
      </c>
      <c r="BD98" s="2324" t="s">
        <v>165</v>
      </c>
      <c r="BE98" s="3799"/>
      <c r="BF98" s="1168">
        <v>42597</v>
      </c>
      <c r="BG98" s="2343">
        <v>42639</v>
      </c>
      <c r="BH98" s="1168">
        <v>42735</v>
      </c>
      <c r="BI98" s="2343">
        <v>42735</v>
      </c>
      <c r="BJ98" s="3780"/>
    </row>
    <row r="99" spans="1:508" ht="46.5" customHeight="1" x14ac:dyDescent="0.2">
      <c r="A99" s="3551"/>
      <c r="B99" s="3552"/>
      <c r="C99" s="3553"/>
      <c r="D99" s="3775"/>
      <c r="E99" s="3775"/>
      <c r="F99" s="3776"/>
      <c r="G99" s="1200"/>
      <c r="H99" s="1200"/>
      <c r="I99" s="1201"/>
      <c r="J99" s="3639"/>
      <c r="K99" s="3563"/>
      <c r="L99" s="3793"/>
      <c r="M99" s="3639"/>
      <c r="N99" s="3632"/>
      <c r="O99" s="2308" t="s">
        <v>952</v>
      </c>
      <c r="P99" s="3636"/>
      <c r="Q99" s="3563"/>
      <c r="R99" s="3652"/>
      <c r="S99" s="3710"/>
      <c r="T99" s="3563"/>
      <c r="U99" s="3563"/>
      <c r="V99" s="3788"/>
      <c r="W99" s="3650"/>
      <c r="X99" s="3603"/>
      <c r="Y99" s="3603"/>
      <c r="Z99" s="3658"/>
      <c r="AA99" s="3635"/>
      <c r="AB99" s="3801"/>
      <c r="AC99" s="3758"/>
      <c r="AD99" s="3801"/>
      <c r="AE99" s="3758"/>
      <c r="AF99" s="3801"/>
      <c r="AG99" s="3758"/>
      <c r="AH99" s="3801"/>
      <c r="AI99" s="3758"/>
      <c r="AJ99" s="3801"/>
      <c r="AK99" s="3758"/>
      <c r="AL99" s="3801"/>
      <c r="AM99" s="3758"/>
      <c r="AN99" s="3801"/>
      <c r="AO99" s="3758"/>
      <c r="AP99" s="3801"/>
      <c r="AQ99" s="3758"/>
      <c r="AR99" s="3801"/>
      <c r="AS99" s="3758"/>
      <c r="AT99" s="3801"/>
      <c r="AU99" s="3758"/>
      <c r="AV99" s="3801"/>
      <c r="AW99" s="3758"/>
      <c r="AX99" s="3801"/>
      <c r="AY99" s="3758"/>
      <c r="AZ99" s="2367" t="s">
        <v>953</v>
      </c>
      <c r="BA99" s="2372">
        <v>13410000</v>
      </c>
      <c r="BB99" s="2372">
        <v>13410000</v>
      </c>
      <c r="BC99" s="2372">
        <v>100</v>
      </c>
      <c r="BD99" s="1202" t="s">
        <v>954</v>
      </c>
      <c r="BE99" s="3800"/>
      <c r="BF99" s="2317">
        <v>42703</v>
      </c>
      <c r="BG99" s="2343">
        <v>42703</v>
      </c>
      <c r="BH99" s="1203">
        <v>42734</v>
      </c>
      <c r="BI99" s="2343">
        <v>42734</v>
      </c>
      <c r="BJ99" s="3781"/>
    </row>
    <row r="100" spans="1:508" ht="13.5" customHeight="1" x14ac:dyDescent="0.2">
      <c r="A100" s="3551"/>
      <c r="B100" s="3552"/>
      <c r="C100" s="3553"/>
      <c r="D100" s="3775"/>
      <c r="E100" s="3775"/>
      <c r="F100" s="3776"/>
      <c r="G100" s="3802">
        <v>12</v>
      </c>
      <c r="H100" s="1104" t="s">
        <v>955</v>
      </c>
      <c r="I100" s="1105"/>
      <c r="J100" s="1105"/>
      <c r="K100" s="4899"/>
      <c r="L100" s="1105"/>
      <c r="M100" s="1105"/>
      <c r="N100" s="1106"/>
      <c r="O100" s="1105"/>
      <c r="P100" s="1105"/>
      <c r="Q100" s="1105"/>
      <c r="R100" s="1105"/>
      <c r="S100" s="1105"/>
      <c r="T100" s="1105"/>
      <c r="U100" s="1105"/>
      <c r="V100" s="1105"/>
      <c r="W100" s="1105"/>
      <c r="X100" s="1106"/>
      <c r="Y100" s="1106"/>
      <c r="Z100" s="1105"/>
      <c r="AA100" s="1105"/>
      <c r="AB100" s="1105"/>
      <c r="AC100" s="1106"/>
      <c r="AD100" s="1105"/>
      <c r="AE100" s="1106"/>
      <c r="AF100" s="1105"/>
      <c r="AG100" s="1106"/>
      <c r="AH100" s="1105"/>
      <c r="AI100" s="1106"/>
      <c r="AJ100" s="1105"/>
      <c r="AK100" s="1106"/>
      <c r="AL100" s="1105"/>
      <c r="AM100" s="1106"/>
      <c r="AN100" s="1105"/>
      <c r="AO100" s="1106"/>
      <c r="AP100" s="1105"/>
      <c r="AQ100" s="1106"/>
      <c r="AR100" s="1105"/>
      <c r="AS100" s="1106"/>
      <c r="AT100" s="1105"/>
      <c r="AU100" s="1106"/>
      <c r="AV100" s="1105"/>
      <c r="AW100" s="1106"/>
      <c r="AX100" s="1105"/>
      <c r="AY100" s="1106"/>
      <c r="AZ100" s="1105"/>
      <c r="BA100" s="1107"/>
      <c r="BB100" s="1105"/>
      <c r="BC100" s="1105"/>
      <c r="BD100" s="1108"/>
      <c r="BE100" s="1108"/>
      <c r="BF100" s="1108"/>
      <c r="BG100" s="1106"/>
      <c r="BH100" s="1105"/>
      <c r="BI100" s="1106"/>
      <c r="BJ100" s="1204"/>
      <c r="QM100" s="1148"/>
      <c r="QN100" s="1148"/>
      <c r="QO100" s="1148"/>
      <c r="QP100" s="1148"/>
      <c r="QQ100" s="1148"/>
      <c r="QR100" s="1148"/>
      <c r="QS100" s="1148"/>
      <c r="QT100" s="1148"/>
      <c r="QU100" s="1148"/>
      <c r="QV100" s="1148"/>
      <c r="QW100" s="1148"/>
      <c r="QX100" s="1148"/>
      <c r="QY100" s="1148"/>
      <c r="QZ100" s="1148"/>
      <c r="RA100" s="1148"/>
      <c r="RB100" s="1148"/>
      <c r="RC100" s="1148"/>
      <c r="RD100" s="1148"/>
      <c r="RE100" s="1148"/>
      <c r="RF100" s="1148"/>
      <c r="RG100" s="1148"/>
      <c r="RH100" s="1148"/>
      <c r="RI100" s="1148"/>
      <c r="RJ100" s="1148"/>
      <c r="RK100" s="1148"/>
      <c r="RL100" s="1148"/>
      <c r="RM100" s="1148"/>
      <c r="RN100" s="1148"/>
      <c r="RO100" s="1148"/>
      <c r="RP100" s="1148"/>
      <c r="RQ100" s="1148"/>
      <c r="RR100" s="1148"/>
      <c r="RS100" s="1148"/>
      <c r="RT100" s="1148"/>
      <c r="RU100" s="1148"/>
      <c r="RV100" s="1148"/>
      <c r="RW100" s="1148"/>
      <c r="RX100" s="1148"/>
      <c r="RY100" s="1148"/>
      <c r="RZ100" s="1148"/>
      <c r="SA100" s="1148"/>
      <c r="SB100" s="1148"/>
      <c r="SC100" s="1148"/>
      <c r="SD100" s="1148"/>
      <c r="SE100" s="1148"/>
      <c r="SF100" s="1148"/>
      <c r="SG100" s="1148"/>
      <c r="SH100" s="1148"/>
      <c r="SI100" s="1148"/>
      <c r="SJ100" s="1148"/>
      <c r="SK100" s="1148"/>
      <c r="SL100" s="1148"/>
      <c r="SM100" s="1148"/>
      <c r="SN100" s="1148"/>
    </row>
    <row r="101" spans="1:508" ht="13.5" customHeight="1" x14ac:dyDescent="0.2">
      <c r="A101" s="3551"/>
      <c r="B101" s="3552"/>
      <c r="C101" s="3553"/>
      <c r="D101" s="3775"/>
      <c r="E101" s="3775"/>
      <c r="F101" s="3776"/>
      <c r="G101" s="3803"/>
      <c r="H101" s="1205"/>
      <c r="I101" s="1206"/>
      <c r="J101" s="1206"/>
      <c r="K101" s="4904"/>
      <c r="L101" s="1206"/>
      <c r="M101" s="1206"/>
      <c r="N101" s="1207"/>
      <c r="O101" s="1206"/>
      <c r="P101" s="1206"/>
      <c r="Q101" s="1206"/>
      <c r="R101" s="1206"/>
      <c r="S101" s="1206"/>
      <c r="T101" s="1206"/>
      <c r="U101" s="1206"/>
      <c r="V101" s="1206"/>
      <c r="W101" s="1206"/>
      <c r="X101" s="1207"/>
      <c r="Y101" s="1207"/>
      <c r="Z101" s="1206"/>
      <c r="AA101" s="1206"/>
      <c r="AB101" s="1206"/>
      <c r="AC101" s="1207"/>
      <c r="AD101" s="1206"/>
      <c r="AE101" s="1207"/>
      <c r="AF101" s="1206"/>
      <c r="AG101" s="1207"/>
      <c r="AH101" s="1206"/>
      <c r="AI101" s="1207"/>
      <c r="AJ101" s="1206"/>
      <c r="AK101" s="1207"/>
      <c r="AL101" s="1206"/>
      <c r="AM101" s="1207"/>
      <c r="AN101" s="1206"/>
      <c r="AO101" s="1207"/>
      <c r="AP101" s="1206"/>
      <c r="AQ101" s="1207"/>
      <c r="AR101" s="1206"/>
      <c r="AS101" s="1207"/>
      <c r="AT101" s="1206"/>
      <c r="AU101" s="1207"/>
      <c r="AV101" s="1206"/>
      <c r="AW101" s="1207"/>
      <c r="AX101" s="1206"/>
      <c r="AY101" s="1207"/>
      <c r="AZ101" s="1206"/>
      <c r="BA101" s="1208"/>
      <c r="BB101" s="1206"/>
      <c r="BC101" s="1206"/>
      <c r="BD101" s="1209"/>
      <c r="BE101" s="1209"/>
      <c r="BF101" s="1209"/>
      <c r="BG101" s="1207"/>
      <c r="BH101" s="1206"/>
      <c r="BI101" s="1207"/>
      <c r="BJ101" s="1210"/>
      <c r="QM101" s="1148"/>
      <c r="QN101" s="1148"/>
      <c r="QO101" s="1148"/>
      <c r="QP101" s="1148"/>
      <c r="QQ101" s="1148"/>
      <c r="QR101" s="1148"/>
      <c r="QS101" s="1148"/>
      <c r="QT101" s="1148"/>
      <c r="QU101" s="1148"/>
      <c r="QV101" s="1148"/>
      <c r="QW101" s="1148"/>
      <c r="QX101" s="1148"/>
      <c r="QY101" s="1148"/>
      <c r="QZ101" s="1148"/>
      <c r="RA101" s="1148"/>
      <c r="RB101" s="1148"/>
      <c r="RC101" s="1148"/>
      <c r="RD101" s="1148"/>
      <c r="RE101" s="1148"/>
      <c r="RF101" s="1148"/>
      <c r="RG101" s="1148"/>
      <c r="RH101" s="1148"/>
      <c r="RI101" s="1148"/>
      <c r="RJ101" s="1148"/>
      <c r="RK101" s="1148"/>
      <c r="RL101" s="1148"/>
      <c r="RM101" s="1148"/>
      <c r="RN101" s="1148"/>
      <c r="RO101" s="1148"/>
      <c r="RP101" s="1148"/>
      <c r="RQ101" s="1148"/>
      <c r="RR101" s="1148"/>
      <c r="RS101" s="1148"/>
      <c r="RT101" s="1148"/>
      <c r="RU101" s="1148"/>
      <c r="RV101" s="1148"/>
      <c r="RW101" s="1148"/>
      <c r="RX101" s="1148"/>
      <c r="RY101" s="1148"/>
      <c r="RZ101" s="1148"/>
      <c r="SA101" s="1148"/>
      <c r="SB101" s="1148"/>
      <c r="SC101" s="1148"/>
      <c r="SD101" s="1148"/>
      <c r="SE101" s="1148"/>
      <c r="SF101" s="1148"/>
      <c r="SG101" s="1148"/>
      <c r="SH101" s="1148"/>
      <c r="SI101" s="1148"/>
      <c r="SJ101" s="1148"/>
      <c r="SK101" s="1148"/>
      <c r="SL101" s="1148"/>
      <c r="SM101" s="1148"/>
      <c r="SN101" s="1148"/>
    </row>
    <row r="102" spans="1:508" ht="13.5" customHeight="1" x14ac:dyDescent="0.2">
      <c r="A102" s="3551"/>
      <c r="B102" s="3552"/>
      <c r="C102" s="3553"/>
      <c r="D102" s="3775"/>
      <c r="E102" s="3775"/>
      <c r="F102" s="3776"/>
      <c r="G102" s="1200"/>
      <c r="H102" s="1200"/>
      <c r="I102" s="1201"/>
      <c r="J102" s="3640">
        <v>52</v>
      </c>
      <c r="K102" s="3638" t="s">
        <v>956</v>
      </c>
      <c r="L102" s="3741" t="s">
        <v>19</v>
      </c>
      <c r="M102" s="3640">
        <v>3</v>
      </c>
      <c r="N102" s="3631">
        <v>3</v>
      </c>
      <c r="O102" s="3560" t="s">
        <v>957</v>
      </c>
      <c r="P102" s="3657">
        <v>60</v>
      </c>
      <c r="Q102" s="3638" t="s">
        <v>958</v>
      </c>
      <c r="R102" s="3643">
        <v>1</v>
      </c>
      <c r="S102" s="3818">
        <v>75800000</v>
      </c>
      <c r="T102" s="3638" t="s">
        <v>959</v>
      </c>
      <c r="U102" s="3638" t="s">
        <v>960</v>
      </c>
      <c r="V102" s="3638" t="s">
        <v>961</v>
      </c>
      <c r="W102" s="3818">
        <v>20000000</v>
      </c>
      <c r="X102" s="3820">
        <f>7590000+7500000+3890000</f>
        <v>18980000</v>
      </c>
      <c r="Y102" s="3820">
        <f>7590000+7500000+3890000</f>
        <v>18980000</v>
      </c>
      <c r="Z102" s="3657">
        <v>20</v>
      </c>
      <c r="AA102" s="3558" t="s">
        <v>130</v>
      </c>
      <c r="AB102" s="3760">
        <v>64149</v>
      </c>
      <c r="AC102" s="3757"/>
      <c r="AD102" s="3760" t="s">
        <v>811</v>
      </c>
      <c r="AE102" s="3757"/>
      <c r="AF102" s="3760" t="s">
        <v>812</v>
      </c>
      <c r="AG102" s="3757"/>
      <c r="AH102" s="3760" t="s">
        <v>813</v>
      </c>
      <c r="AI102" s="3757"/>
      <c r="AJ102" s="3760" t="s">
        <v>814</v>
      </c>
      <c r="AK102" s="3757"/>
      <c r="AL102" s="3760" t="s">
        <v>815</v>
      </c>
      <c r="AM102" s="3757"/>
      <c r="AN102" s="3760">
        <v>13208</v>
      </c>
      <c r="AO102" s="3757"/>
      <c r="AP102" s="3760">
        <v>1827</v>
      </c>
      <c r="AQ102" s="3757"/>
      <c r="AR102" s="3760"/>
      <c r="AS102" s="3757"/>
      <c r="AT102" s="3760"/>
      <c r="AU102" s="3757"/>
      <c r="AV102" s="3760">
        <v>16897</v>
      </c>
      <c r="AW102" s="3757"/>
      <c r="AX102" s="3478">
        <v>81384</v>
      </c>
      <c r="AY102" s="3475"/>
      <c r="AZ102" s="3814" t="s">
        <v>962</v>
      </c>
      <c r="BA102" s="3687">
        <v>7500000</v>
      </c>
      <c r="BB102" s="3471">
        <v>7500000</v>
      </c>
      <c r="BC102" s="3471">
        <v>100</v>
      </c>
      <c r="BD102" s="3471" t="s">
        <v>165</v>
      </c>
      <c r="BE102" s="3706" t="s">
        <v>915</v>
      </c>
      <c r="BF102" s="3807" t="s">
        <v>902</v>
      </c>
      <c r="BG102" s="3805" t="s">
        <v>963</v>
      </c>
      <c r="BH102" s="3807" t="s">
        <v>964</v>
      </c>
      <c r="BI102" s="3805" t="s">
        <v>965</v>
      </c>
      <c r="BJ102" s="3812" t="s">
        <v>821</v>
      </c>
      <c r="QM102" s="1148"/>
      <c r="QN102" s="1148"/>
      <c r="QO102" s="1148"/>
      <c r="QP102" s="1148"/>
      <c r="QQ102" s="1148"/>
      <c r="QR102" s="1148"/>
      <c r="QS102" s="1148"/>
      <c r="QT102" s="1148"/>
      <c r="QU102" s="1148"/>
      <c r="QV102" s="1148"/>
      <c r="QW102" s="1148"/>
      <c r="QX102" s="1148"/>
      <c r="QY102" s="1148"/>
      <c r="QZ102" s="1148"/>
      <c r="RA102" s="1148"/>
      <c r="RB102" s="1148"/>
      <c r="RC102" s="1148"/>
      <c r="RD102" s="1148"/>
      <c r="RE102" s="1148"/>
      <c r="RF102" s="1148"/>
      <c r="RG102" s="1148"/>
      <c r="RH102" s="1148"/>
      <c r="RI102" s="1148"/>
      <c r="RJ102" s="1148"/>
      <c r="RK102" s="1148"/>
      <c r="RL102" s="1148"/>
      <c r="RM102" s="1148"/>
      <c r="RN102" s="1148"/>
      <c r="RO102" s="1148"/>
      <c r="RP102" s="1148"/>
      <c r="RQ102" s="1148"/>
      <c r="RR102" s="1148"/>
      <c r="RS102" s="1148"/>
      <c r="RT102" s="1148"/>
      <c r="RU102" s="1148"/>
      <c r="RV102" s="1148"/>
      <c r="RW102" s="1148"/>
      <c r="RX102" s="1148"/>
      <c r="RY102" s="1148"/>
      <c r="RZ102" s="1148"/>
      <c r="SA102" s="1148"/>
      <c r="SB102" s="1148"/>
      <c r="SC102" s="1148"/>
      <c r="SD102" s="1148"/>
      <c r="SE102" s="1148"/>
      <c r="SF102" s="1148"/>
      <c r="SG102" s="1148"/>
      <c r="SH102" s="1148"/>
      <c r="SI102" s="1148"/>
      <c r="SJ102" s="1148"/>
      <c r="SK102" s="1148"/>
      <c r="SL102" s="1148"/>
      <c r="SM102" s="1148"/>
      <c r="SN102" s="1148"/>
    </row>
    <row r="103" spans="1:508" ht="15.75" customHeight="1" x14ac:dyDescent="0.2">
      <c r="A103" s="3551"/>
      <c r="B103" s="3552"/>
      <c r="C103" s="3553"/>
      <c r="D103" s="3775"/>
      <c r="E103" s="3775"/>
      <c r="F103" s="3776"/>
      <c r="G103" s="1200"/>
      <c r="H103" s="1200"/>
      <c r="I103" s="1201"/>
      <c r="J103" s="3743"/>
      <c r="K103" s="3659"/>
      <c r="L103" s="3628"/>
      <c r="M103" s="3743"/>
      <c r="N103" s="3632"/>
      <c r="O103" s="3634"/>
      <c r="P103" s="3636"/>
      <c r="Q103" s="3659"/>
      <c r="R103" s="3644"/>
      <c r="S103" s="3648"/>
      <c r="T103" s="3659"/>
      <c r="U103" s="3659"/>
      <c r="V103" s="3659"/>
      <c r="W103" s="3648"/>
      <c r="X103" s="3823"/>
      <c r="Y103" s="3823"/>
      <c r="Z103" s="3636"/>
      <c r="AA103" s="3558"/>
      <c r="AB103" s="3761"/>
      <c r="AC103" s="3758"/>
      <c r="AD103" s="3761"/>
      <c r="AE103" s="3758"/>
      <c r="AF103" s="3761"/>
      <c r="AG103" s="3758"/>
      <c r="AH103" s="3761"/>
      <c r="AI103" s="3758"/>
      <c r="AJ103" s="3761"/>
      <c r="AK103" s="3758"/>
      <c r="AL103" s="3761"/>
      <c r="AM103" s="3758"/>
      <c r="AN103" s="3761"/>
      <c r="AO103" s="3758"/>
      <c r="AP103" s="3761"/>
      <c r="AQ103" s="3758"/>
      <c r="AR103" s="3761"/>
      <c r="AS103" s="3758"/>
      <c r="AT103" s="3761"/>
      <c r="AU103" s="3758"/>
      <c r="AV103" s="3761"/>
      <c r="AW103" s="3758"/>
      <c r="AX103" s="3479"/>
      <c r="AY103" s="3476"/>
      <c r="AZ103" s="3815"/>
      <c r="BA103" s="3700"/>
      <c r="BB103" s="3705"/>
      <c r="BC103" s="3705"/>
      <c r="BD103" s="3705"/>
      <c r="BE103" s="3707"/>
      <c r="BF103" s="3808"/>
      <c r="BG103" s="3806"/>
      <c r="BH103" s="3808"/>
      <c r="BI103" s="3806"/>
      <c r="BJ103" s="3723"/>
      <c r="QM103" s="1148"/>
      <c r="QN103" s="1148"/>
      <c r="QO103" s="1148"/>
      <c r="QP103" s="1148"/>
      <c r="QQ103" s="1148"/>
      <c r="QR103" s="1148"/>
      <c r="QS103" s="1148"/>
      <c r="QT103" s="1148"/>
      <c r="QU103" s="1148"/>
      <c r="QV103" s="1148"/>
      <c r="QW103" s="1148"/>
      <c r="QX103" s="1148"/>
      <c r="QY103" s="1148"/>
      <c r="QZ103" s="1148"/>
      <c r="RA103" s="1148"/>
      <c r="RB103" s="1148"/>
      <c r="RC103" s="1148"/>
      <c r="RD103" s="1148"/>
      <c r="RE103" s="1148"/>
      <c r="RF103" s="1148"/>
      <c r="RG103" s="1148"/>
      <c r="RH103" s="1148"/>
      <c r="RI103" s="1148"/>
      <c r="RJ103" s="1148"/>
      <c r="RK103" s="1148"/>
      <c r="RL103" s="1148"/>
      <c r="RM103" s="1148"/>
      <c r="RN103" s="1148"/>
      <c r="RO103" s="1148"/>
      <c r="RP103" s="1148"/>
      <c r="RQ103" s="1148"/>
      <c r="RR103" s="1148"/>
      <c r="RS103" s="1148"/>
      <c r="RT103" s="1148"/>
      <c r="RU103" s="1148"/>
      <c r="RV103" s="1148"/>
      <c r="RW103" s="1148"/>
      <c r="RX103" s="1148"/>
      <c r="RY103" s="1148"/>
      <c r="RZ103" s="1148"/>
      <c r="SA103" s="1148"/>
      <c r="SB103" s="1148"/>
      <c r="SC103" s="1148"/>
      <c r="SD103" s="1148"/>
      <c r="SE103" s="1148"/>
      <c r="SF103" s="1148"/>
      <c r="SG103" s="1148"/>
      <c r="SH103" s="1148"/>
      <c r="SI103" s="1148"/>
      <c r="SJ103" s="1148"/>
      <c r="SK103" s="1148"/>
      <c r="SL103" s="1148"/>
      <c r="SM103" s="1148"/>
      <c r="SN103" s="1148"/>
    </row>
    <row r="104" spans="1:508" ht="33.75" customHeight="1" x14ac:dyDescent="0.2">
      <c r="A104" s="3551"/>
      <c r="B104" s="3552"/>
      <c r="C104" s="3553"/>
      <c r="D104" s="3775"/>
      <c r="E104" s="3775"/>
      <c r="F104" s="3776"/>
      <c r="G104" s="1200"/>
      <c r="H104" s="1200"/>
      <c r="I104" s="1201"/>
      <c r="J104" s="3743"/>
      <c r="K104" s="3659"/>
      <c r="L104" s="3628"/>
      <c r="M104" s="3743"/>
      <c r="N104" s="3632"/>
      <c r="O104" s="3634"/>
      <c r="P104" s="3636"/>
      <c r="Q104" s="3659"/>
      <c r="R104" s="3644"/>
      <c r="S104" s="3648"/>
      <c r="T104" s="3659"/>
      <c r="U104" s="3659"/>
      <c r="V104" s="3637"/>
      <c r="W104" s="3819"/>
      <c r="X104" s="3821"/>
      <c r="Y104" s="3821"/>
      <c r="Z104" s="3636"/>
      <c r="AA104" s="3558"/>
      <c r="AB104" s="3761"/>
      <c r="AC104" s="3758"/>
      <c r="AD104" s="3761"/>
      <c r="AE104" s="3758"/>
      <c r="AF104" s="3761"/>
      <c r="AG104" s="3758"/>
      <c r="AH104" s="3761"/>
      <c r="AI104" s="3758"/>
      <c r="AJ104" s="3761"/>
      <c r="AK104" s="3758"/>
      <c r="AL104" s="3761"/>
      <c r="AM104" s="3758"/>
      <c r="AN104" s="3761"/>
      <c r="AO104" s="3758"/>
      <c r="AP104" s="3761"/>
      <c r="AQ104" s="3758"/>
      <c r="AR104" s="3761"/>
      <c r="AS104" s="3758"/>
      <c r="AT104" s="3761"/>
      <c r="AU104" s="3758"/>
      <c r="AV104" s="3761"/>
      <c r="AW104" s="3758"/>
      <c r="AX104" s="3479"/>
      <c r="AY104" s="3476"/>
      <c r="AZ104" s="3814" t="s">
        <v>966</v>
      </c>
      <c r="BA104" s="3687">
        <v>5500000</v>
      </c>
      <c r="BB104" s="3687">
        <v>5500000</v>
      </c>
      <c r="BC104" s="3471">
        <v>100</v>
      </c>
      <c r="BD104" s="3706" t="s">
        <v>954</v>
      </c>
      <c r="BE104" s="3707"/>
      <c r="BF104" s="3814" t="s">
        <v>902</v>
      </c>
      <c r="BG104" s="3816" t="s">
        <v>967</v>
      </c>
      <c r="BH104" s="3814" t="s">
        <v>964</v>
      </c>
      <c r="BI104" s="3816" t="s">
        <v>968</v>
      </c>
      <c r="BJ104" s="3723"/>
      <c r="QM104" s="1148"/>
      <c r="QN104" s="1148"/>
      <c r="QO104" s="1148"/>
      <c r="QP104" s="1148"/>
      <c r="QQ104" s="1148"/>
      <c r="QR104" s="1148"/>
      <c r="QS104" s="1148"/>
      <c r="QT104" s="1148"/>
      <c r="QU104" s="1148"/>
      <c r="QV104" s="1148"/>
      <c r="QW104" s="1148"/>
      <c r="QX104" s="1148"/>
      <c r="QY104" s="1148"/>
      <c r="QZ104" s="1148"/>
      <c r="RA104" s="1148"/>
      <c r="RB104" s="1148"/>
      <c r="RC104" s="1148"/>
      <c r="RD104" s="1148"/>
      <c r="RE104" s="1148"/>
      <c r="RF104" s="1148"/>
      <c r="RG104" s="1148"/>
      <c r="RH104" s="1148"/>
      <c r="RI104" s="1148"/>
      <c r="RJ104" s="1148"/>
      <c r="RK104" s="1148"/>
      <c r="RL104" s="1148"/>
      <c r="RM104" s="1148"/>
      <c r="RN104" s="1148"/>
      <c r="RO104" s="1148"/>
      <c r="RP104" s="1148"/>
      <c r="RQ104" s="1148"/>
      <c r="RR104" s="1148"/>
      <c r="RS104" s="1148"/>
      <c r="RT104" s="1148"/>
      <c r="RU104" s="1148"/>
      <c r="RV104" s="1148"/>
      <c r="RW104" s="1148"/>
      <c r="RX104" s="1148"/>
      <c r="RY104" s="1148"/>
      <c r="RZ104" s="1148"/>
      <c r="SA104" s="1148"/>
      <c r="SB104" s="1148"/>
      <c r="SC104" s="1148"/>
      <c r="SD104" s="1148"/>
      <c r="SE104" s="1148"/>
      <c r="SF104" s="1148"/>
      <c r="SG104" s="1148"/>
      <c r="SH104" s="1148"/>
      <c r="SI104" s="1148"/>
      <c r="SJ104" s="1148"/>
      <c r="SK104" s="1148"/>
      <c r="SL104" s="1148"/>
      <c r="SM104" s="1148"/>
      <c r="SN104" s="1148"/>
    </row>
    <row r="105" spans="1:508" ht="13.5" customHeight="1" x14ac:dyDescent="0.2">
      <c r="A105" s="3551"/>
      <c r="B105" s="3552"/>
      <c r="C105" s="3553"/>
      <c r="D105" s="3775"/>
      <c r="E105" s="3775"/>
      <c r="F105" s="3776"/>
      <c r="G105" s="1200"/>
      <c r="H105" s="1200"/>
      <c r="I105" s="1201"/>
      <c r="J105" s="3743"/>
      <c r="K105" s="3659"/>
      <c r="L105" s="3628"/>
      <c r="M105" s="3743"/>
      <c r="N105" s="3632"/>
      <c r="O105" s="3634"/>
      <c r="P105" s="3636"/>
      <c r="Q105" s="3659"/>
      <c r="R105" s="3644"/>
      <c r="S105" s="3648"/>
      <c r="T105" s="3659"/>
      <c r="U105" s="3659"/>
      <c r="V105" s="3638" t="s">
        <v>969</v>
      </c>
      <c r="W105" s="3818">
        <v>24000000</v>
      </c>
      <c r="X105" s="3820">
        <f>23440000+170000</f>
        <v>23610000</v>
      </c>
      <c r="Y105" s="3820">
        <f>23440000+170000</f>
        <v>23610000</v>
      </c>
      <c r="Z105" s="3636"/>
      <c r="AA105" s="3558"/>
      <c r="AB105" s="3761"/>
      <c r="AC105" s="3758"/>
      <c r="AD105" s="3761"/>
      <c r="AE105" s="3758"/>
      <c r="AF105" s="3761"/>
      <c r="AG105" s="3758"/>
      <c r="AH105" s="3761"/>
      <c r="AI105" s="3758"/>
      <c r="AJ105" s="3761"/>
      <c r="AK105" s="3758"/>
      <c r="AL105" s="3761"/>
      <c r="AM105" s="3758"/>
      <c r="AN105" s="3761"/>
      <c r="AO105" s="3758"/>
      <c r="AP105" s="3761"/>
      <c r="AQ105" s="3758"/>
      <c r="AR105" s="3761"/>
      <c r="AS105" s="3758"/>
      <c r="AT105" s="3761"/>
      <c r="AU105" s="3758"/>
      <c r="AV105" s="3761"/>
      <c r="AW105" s="3758"/>
      <c r="AX105" s="3479"/>
      <c r="AY105" s="3476"/>
      <c r="AZ105" s="3815"/>
      <c r="BA105" s="3700"/>
      <c r="BB105" s="3700"/>
      <c r="BC105" s="3705"/>
      <c r="BD105" s="3708"/>
      <c r="BE105" s="3707"/>
      <c r="BF105" s="3815"/>
      <c r="BG105" s="3817"/>
      <c r="BH105" s="3815"/>
      <c r="BI105" s="3817"/>
      <c r="BJ105" s="3723"/>
      <c r="QM105" s="1148"/>
      <c r="QN105" s="1148"/>
      <c r="QO105" s="1148"/>
      <c r="QP105" s="1148"/>
      <c r="QQ105" s="1148"/>
      <c r="QR105" s="1148"/>
      <c r="QS105" s="1148"/>
      <c r="QT105" s="1148"/>
      <c r="QU105" s="1148"/>
      <c r="QV105" s="1148"/>
      <c r="QW105" s="1148"/>
      <c r="QX105" s="1148"/>
      <c r="QY105" s="1148"/>
      <c r="QZ105" s="1148"/>
      <c r="RA105" s="1148"/>
      <c r="RB105" s="1148"/>
      <c r="RC105" s="1148"/>
      <c r="RD105" s="1148"/>
      <c r="RE105" s="1148"/>
      <c r="RF105" s="1148"/>
      <c r="RG105" s="1148"/>
      <c r="RH105" s="1148"/>
      <c r="RI105" s="1148"/>
      <c r="RJ105" s="1148"/>
      <c r="RK105" s="1148"/>
      <c r="RL105" s="1148"/>
      <c r="RM105" s="1148"/>
      <c r="RN105" s="1148"/>
      <c r="RO105" s="1148"/>
      <c r="RP105" s="1148"/>
      <c r="RQ105" s="1148"/>
      <c r="RR105" s="1148"/>
      <c r="RS105" s="1148"/>
      <c r="RT105" s="1148"/>
      <c r="RU105" s="1148"/>
      <c r="RV105" s="1148"/>
      <c r="RW105" s="1148"/>
      <c r="RX105" s="1148"/>
      <c r="RY105" s="1148"/>
      <c r="RZ105" s="1148"/>
      <c r="SA105" s="1148"/>
      <c r="SB105" s="1148"/>
      <c r="SC105" s="1148"/>
      <c r="SD105" s="1148"/>
      <c r="SE105" s="1148"/>
      <c r="SF105" s="1148"/>
      <c r="SG105" s="1148"/>
      <c r="SH105" s="1148"/>
      <c r="SI105" s="1148"/>
      <c r="SJ105" s="1148"/>
      <c r="SK105" s="1148"/>
      <c r="SL105" s="1148"/>
      <c r="SM105" s="1148"/>
      <c r="SN105" s="1148"/>
    </row>
    <row r="106" spans="1:508" ht="14.25" customHeight="1" x14ac:dyDescent="0.2">
      <c r="A106" s="3551"/>
      <c r="B106" s="3552"/>
      <c r="C106" s="3553"/>
      <c r="D106" s="3775"/>
      <c r="E106" s="3775"/>
      <c r="F106" s="3776"/>
      <c r="G106" s="1200"/>
      <c r="H106" s="1200"/>
      <c r="I106" s="1201"/>
      <c r="J106" s="3743"/>
      <c r="K106" s="3659"/>
      <c r="L106" s="3628"/>
      <c r="M106" s="3743"/>
      <c r="N106" s="3632"/>
      <c r="O106" s="3634"/>
      <c r="P106" s="3636"/>
      <c r="Q106" s="3659"/>
      <c r="R106" s="3644"/>
      <c r="S106" s="3648"/>
      <c r="T106" s="3659"/>
      <c r="U106" s="3659"/>
      <c r="V106" s="3637"/>
      <c r="W106" s="3819"/>
      <c r="X106" s="3821"/>
      <c r="Y106" s="3821"/>
      <c r="Z106" s="3636"/>
      <c r="AA106" s="3558"/>
      <c r="AB106" s="3761"/>
      <c r="AC106" s="3758"/>
      <c r="AD106" s="3761"/>
      <c r="AE106" s="3758"/>
      <c r="AF106" s="3761"/>
      <c r="AG106" s="3758"/>
      <c r="AH106" s="3761"/>
      <c r="AI106" s="3758"/>
      <c r="AJ106" s="3761"/>
      <c r="AK106" s="3758"/>
      <c r="AL106" s="3761"/>
      <c r="AM106" s="3758"/>
      <c r="AN106" s="3761"/>
      <c r="AO106" s="3758"/>
      <c r="AP106" s="3761"/>
      <c r="AQ106" s="3758"/>
      <c r="AR106" s="3761"/>
      <c r="AS106" s="3758"/>
      <c r="AT106" s="3761"/>
      <c r="AU106" s="3758"/>
      <c r="AV106" s="3761"/>
      <c r="AW106" s="3758"/>
      <c r="AX106" s="3479"/>
      <c r="AY106" s="3476"/>
      <c r="AZ106" s="3814" t="s">
        <v>970</v>
      </c>
      <c r="BA106" s="3687">
        <v>10540000</v>
      </c>
      <c r="BB106" s="3687">
        <v>10540000</v>
      </c>
      <c r="BC106" s="3471">
        <v>100</v>
      </c>
      <c r="BD106" s="3706" t="s">
        <v>954</v>
      </c>
      <c r="BE106" s="3707"/>
      <c r="BF106" s="3814" t="s">
        <v>902</v>
      </c>
      <c r="BG106" s="3816" t="s">
        <v>971</v>
      </c>
      <c r="BH106" s="3814" t="s">
        <v>964</v>
      </c>
      <c r="BI106" s="3816" t="s">
        <v>972</v>
      </c>
      <c r="BJ106" s="3723"/>
      <c r="QM106" s="1148"/>
      <c r="QN106" s="1148"/>
      <c r="QO106" s="1148"/>
      <c r="QP106" s="1148"/>
      <c r="QQ106" s="1148"/>
      <c r="QR106" s="1148"/>
      <c r="QS106" s="1148"/>
      <c r="QT106" s="1148"/>
      <c r="QU106" s="1148"/>
      <c r="QV106" s="1148"/>
      <c r="QW106" s="1148"/>
      <c r="QX106" s="1148"/>
      <c r="QY106" s="1148"/>
      <c r="QZ106" s="1148"/>
      <c r="RA106" s="1148"/>
      <c r="RB106" s="1148"/>
      <c r="RC106" s="1148"/>
      <c r="RD106" s="1148"/>
      <c r="RE106" s="1148"/>
      <c r="RF106" s="1148"/>
      <c r="RG106" s="1148"/>
      <c r="RH106" s="1148"/>
      <c r="RI106" s="1148"/>
      <c r="RJ106" s="1148"/>
      <c r="RK106" s="1148"/>
      <c r="RL106" s="1148"/>
      <c r="RM106" s="1148"/>
      <c r="RN106" s="1148"/>
      <c r="RO106" s="1148"/>
      <c r="RP106" s="1148"/>
      <c r="RQ106" s="1148"/>
      <c r="RR106" s="1148"/>
      <c r="RS106" s="1148"/>
      <c r="RT106" s="1148"/>
      <c r="RU106" s="1148"/>
      <c r="RV106" s="1148"/>
      <c r="RW106" s="1148"/>
      <c r="RX106" s="1148"/>
      <c r="RY106" s="1148"/>
      <c r="RZ106" s="1148"/>
      <c r="SA106" s="1148"/>
      <c r="SB106" s="1148"/>
      <c r="SC106" s="1148"/>
      <c r="SD106" s="1148"/>
      <c r="SE106" s="1148"/>
      <c r="SF106" s="1148"/>
      <c r="SG106" s="1148"/>
      <c r="SH106" s="1148"/>
      <c r="SI106" s="1148"/>
      <c r="SJ106" s="1148"/>
      <c r="SK106" s="1148"/>
      <c r="SL106" s="1148"/>
      <c r="SM106" s="1148"/>
      <c r="SN106" s="1148"/>
    </row>
    <row r="107" spans="1:508" ht="34.5" customHeight="1" x14ac:dyDescent="0.2">
      <c r="A107" s="3551"/>
      <c r="B107" s="3552"/>
      <c r="C107" s="3553"/>
      <c r="D107" s="3775"/>
      <c r="E107" s="3775"/>
      <c r="F107" s="3776"/>
      <c r="G107" s="1200"/>
      <c r="H107" s="1200"/>
      <c r="I107" s="1201"/>
      <c r="J107" s="3743"/>
      <c r="K107" s="3659"/>
      <c r="L107" s="3628"/>
      <c r="M107" s="3743"/>
      <c r="N107" s="3632"/>
      <c r="O107" s="3634"/>
      <c r="P107" s="3636"/>
      <c r="Q107" s="3659"/>
      <c r="R107" s="3644"/>
      <c r="S107" s="3648"/>
      <c r="T107" s="3659"/>
      <c r="U107" s="3659"/>
      <c r="V107" s="3563" t="s">
        <v>973</v>
      </c>
      <c r="W107" s="3822">
        <v>12000000</v>
      </c>
      <c r="X107" s="3503">
        <v>12000000</v>
      </c>
      <c r="Y107" s="3503">
        <v>12000000</v>
      </c>
      <c r="Z107" s="3636"/>
      <c r="AA107" s="3558"/>
      <c r="AB107" s="3761"/>
      <c r="AC107" s="3758"/>
      <c r="AD107" s="3761"/>
      <c r="AE107" s="3758"/>
      <c r="AF107" s="3761"/>
      <c r="AG107" s="3758"/>
      <c r="AH107" s="3761"/>
      <c r="AI107" s="3758"/>
      <c r="AJ107" s="3761"/>
      <c r="AK107" s="3758"/>
      <c r="AL107" s="3761"/>
      <c r="AM107" s="3758"/>
      <c r="AN107" s="3761"/>
      <c r="AO107" s="3758"/>
      <c r="AP107" s="3761"/>
      <c r="AQ107" s="3758"/>
      <c r="AR107" s="3761"/>
      <c r="AS107" s="3758"/>
      <c r="AT107" s="3761"/>
      <c r="AU107" s="3758"/>
      <c r="AV107" s="3761"/>
      <c r="AW107" s="3758"/>
      <c r="AX107" s="3479"/>
      <c r="AY107" s="3476"/>
      <c r="AZ107" s="3815"/>
      <c r="BA107" s="3700"/>
      <c r="BB107" s="3700"/>
      <c r="BC107" s="3705"/>
      <c r="BD107" s="3708"/>
      <c r="BE107" s="3707"/>
      <c r="BF107" s="3815"/>
      <c r="BG107" s="3817"/>
      <c r="BH107" s="3815"/>
      <c r="BI107" s="3817"/>
      <c r="BJ107" s="3723"/>
      <c r="QM107" s="1148"/>
      <c r="QN107" s="1148"/>
      <c r="QO107" s="1148"/>
      <c r="QP107" s="1148"/>
      <c r="QQ107" s="1148"/>
      <c r="QR107" s="1148"/>
      <c r="QS107" s="1148"/>
      <c r="QT107" s="1148"/>
      <c r="QU107" s="1148"/>
      <c r="QV107" s="1148"/>
      <c r="QW107" s="1148"/>
      <c r="QX107" s="1148"/>
      <c r="QY107" s="1148"/>
      <c r="QZ107" s="1148"/>
      <c r="RA107" s="1148"/>
      <c r="RB107" s="1148"/>
      <c r="RC107" s="1148"/>
      <c r="RD107" s="1148"/>
      <c r="RE107" s="1148"/>
      <c r="RF107" s="1148"/>
      <c r="RG107" s="1148"/>
      <c r="RH107" s="1148"/>
      <c r="RI107" s="1148"/>
      <c r="RJ107" s="1148"/>
      <c r="RK107" s="1148"/>
      <c r="RL107" s="1148"/>
      <c r="RM107" s="1148"/>
      <c r="RN107" s="1148"/>
      <c r="RO107" s="1148"/>
      <c r="RP107" s="1148"/>
      <c r="RQ107" s="1148"/>
      <c r="RR107" s="1148"/>
      <c r="RS107" s="1148"/>
      <c r="RT107" s="1148"/>
      <c r="RU107" s="1148"/>
      <c r="RV107" s="1148"/>
      <c r="RW107" s="1148"/>
      <c r="RX107" s="1148"/>
      <c r="RY107" s="1148"/>
      <c r="RZ107" s="1148"/>
      <c r="SA107" s="1148"/>
      <c r="SB107" s="1148"/>
      <c r="SC107" s="1148"/>
      <c r="SD107" s="1148"/>
      <c r="SE107" s="1148"/>
      <c r="SF107" s="1148"/>
      <c r="SG107" s="1148"/>
      <c r="SH107" s="1148"/>
      <c r="SI107" s="1148"/>
      <c r="SJ107" s="1148"/>
      <c r="SK107" s="1148"/>
      <c r="SL107" s="1148"/>
      <c r="SM107" s="1148"/>
      <c r="SN107" s="1148"/>
    </row>
    <row r="108" spans="1:508" ht="15.75" customHeight="1" x14ac:dyDescent="0.2">
      <c r="A108" s="3551"/>
      <c r="B108" s="3552"/>
      <c r="C108" s="3553"/>
      <c r="D108" s="3775"/>
      <c r="E108" s="3775"/>
      <c r="F108" s="3776"/>
      <c r="G108" s="1200"/>
      <c r="H108" s="1200"/>
      <c r="I108" s="1201"/>
      <c r="J108" s="3743"/>
      <c r="K108" s="3659"/>
      <c r="L108" s="3628"/>
      <c r="M108" s="3743"/>
      <c r="N108" s="3632"/>
      <c r="O108" s="1211"/>
      <c r="P108" s="3636"/>
      <c r="Q108" s="3659"/>
      <c r="R108" s="3644"/>
      <c r="S108" s="3648"/>
      <c r="T108" s="3659"/>
      <c r="U108" s="3659"/>
      <c r="V108" s="3563"/>
      <c r="W108" s="3822"/>
      <c r="X108" s="3503"/>
      <c r="Y108" s="3503"/>
      <c r="Z108" s="3636"/>
      <c r="AA108" s="3560" t="s">
        <v>974</v>
      </c>
      <c r="AB108" s="3761"/>
      <c r="AC108" s="3758"/>
      <c r="AD108" s="3761"/>
      <c r="AE108" s="3758"/>
      <c r="AF108" s="3761"/>
      <c r="AG108" s="3758"/>
      <c r="AH108" s="3761"/>
      <c r="AI108" s="3758"/>
      <c r="AJ108" s="3761"/>
      <c r="AK108" s="3758"/>
      <c r="AL108" s="3761"/>
      <c r="AM108" s="3758"/>
      <c r="AN108" s="3761"/>
      <c r="AO108" s="3758"/>
      <c r="AP108" s="3761"/>
      <c r="AQ108" s="3758"/>
      <c r="AR108" s="3761"/>
      <c r="AS108" s="3758"/>
      <c r="AT108" s="3761"/>
      <c r="AU108" s="3758"/>
      <c r="AV108" s="3761"/>
      <c r="AW108" s="3758"/>
      <c r="AX108" s="3479"/>
      <c r="AY108" s="3476"/>
      <c r="AZ108" s="3814" t="s">
        <v>975</v>
      </c>
      <c r="BA108" s="3687">
        <v>11900000</v>
      </c>
      <c r="BB108" s="3687">
        <v>11900000</v>
      </c>
      <c r="BC108" s="3471">
        <v>100</v>
      </c>
      <c r="BD108" s="3706" t="s">
        <v>954</v>
      </c>
      <c r="BE108" s="3707"/>
      <c r="BF108" s="3814" t="s">
        <v>902</v>
      </c>
      <c r="BG108" s="3816" t="s">
        <v>971</v>
      </c>
      <c r="BH108" s="3814" t="s">
        <v>964</v>
      </c>
      <c r="BI108" s="3816" t="s">
        <v>972</v>
      </c>
      <c r="BJ108" s="3723"/>
      <c r="QM108" s="1148"/>
      <c r="QN108" s="1148"/>
      <c r="QO108" s="1148"/>
      <c r="QP108" s="1148"/>
      <c r="QQ108" s="1148"/>
      <c r="QR108" s="1148"/>
      <c r="QS108" s="1148"/>
      <c r="QT108" s="1148"/>
      <c r="QU108" s="1148"/>
      <c r="QV108" s="1148"/>
      <c r="QW108" s="1148"/>
      <c r="QX108" s="1148"/>
      <c r="QY108" s="1148"/>
      <c r="QZ108" s="1148"/>
      <c r="RA108" s="1148"/>
      <c r="RB108" s="1148"/>
      <c r="RC108" s="1148"/>
      <c r="RD108" s="1148"/>
      <c r="RE108" s="1148"/>
      <c r="RF108" s="1148"/>
      <c r="RG108" s="1148"/>
      <c r="RH108" s="1148"/>
      <c r="RI108" s="1148"/>
      <c r="RJ108" s="1148"/>
      <c r="RK108" s="1148"/>
      <c r="RL108" s="1148"/>
      <c r="RM108" s="1148"/>
      <c r="RN108" s="1148"/>
      <c r="RO108" s="1148"/>
      <c r="RP108" s="1148"/>
      <c r="RQ108" s="1148"/>
      <c r="RR108" s="1148"/>
      <c r="RS108" s="1148"/>
      <c r="RT108" s="1148"/>
      <c r="RU108" s="1148"/>
      <c r="RV108" s="1148"/>
      <c r="RW108" s="1148"/>
      <c r="RX108" s="1148"/>
      <c r="RY108" s="1148"/>
      <c r="RZ108" s="1148"/>
      <c r="SA108" s="1148"/>
      <c r="SB108" s="1148"/>
      <c r="SC108" s="1148"/>
      <c r="SD108" s="1148"/>
      <c r="SE108" s="1148"/>
      <c r="SF108" s="1148"/>
      <c r="SG108" s="1148"/>
      <c r="SH108" s="1148"/>
      <c r="SI108" s="1148"/>
      <c r="SJ108" s="1148"/>
      <c r="SK108" s="1148"/>
      <c r="SL108" s="1148"/>
      <c r="SM108" s="1148"/>
      <c r="SN108" s="1148"/>
    </row>
    <row r="109" spans="1:508" ht="28.5" customHeight="1" x14ac:dyDescent="0.2">
      <c r="A109" s="3551"/>
      <c r="B109" s="3552"/>
      <c r="C109" s="3553"/>
      <c r="D109" s="3775"/>
      <c r="E109" s="3775"/>
      <c r="F109" s="3776"/>
      <c r="G109" s="1200"/>
      <c r="H109" s="1200"/>
      <c r="I109" s="1201"/>
      <c r="J109" s="3743"/>
      <c r="K109" s="3659"/>
      <c r="L109" s="3628"/>
      <c r="M109" s="3743"/>
      <c r="N109" s="3632"/>
      <c r="O109" s="3634" t="s">
        <v>976</v>
      </c>
      <c r="P109" s="3636"/>
      <c r="Q109" s="3659"/>
      <c r="R109" s="3644"/>
      <c r="S109" s="3648"/>
      <c r="T109" s="3659"/>
      <c r="U109" s="3659"/>
      <c r="V109" s="3560" t="s">
        <v>977</v>
      </c>
      <c r="W109" s="3818">
        <v>13000000</v>
      </c>
      <c r="X109" s="3820">
        <v>13000000</v>
      </c>
      <c r="Y109" s="3820">
        <v>13000000</v>
      </c>
      <c r="Z109" s="3636"/>
      <c r="AA109" s="3634"/>
      <c r="AB109" s="3761"/>
      <c r="AC109" s="3758"/>
      <c r="AD109" s="3761"/>
      <c r="AE109" s="3758"/>
      <c r="AF109" s="3761"/>
      <c r="AG109" s="3758"/>
      <c r="AH109" s="3761"/>
      <c r="AI109" s="3758"/>
      <c r="AJ109" s="3761"/>
      <c r="AK109" s="3758"/>
      <c r="AL109" s="3761"/>
      <c r="AM109" s="3758"/>
      <c r="AN109" s="3761"/>
      <c r="AO109" s="3758"/>
      <c r="AP109" s="3761"/>
      <c r="AQ109" s="3758"/>
      <c r="AR109" s="3761"/>
      <c r="AS109" s="3758"/>
      <c r="AT109" s="3761"/>
      <c r="AU109" s="3758"/>
      <c r="AV109" s="3761"/>
      <c r="AW109" s="3758"/>
      <c r="AX109" s="3479"/>
      <c r="AY109" s="3476"/>
      <c r="AZ109" s="3815"/>
      <c r="BA109" s="3700"/>
      <c r="BB109" s="3700"/>
      <c r="BC109" s="3705"/>
      <c r="BD109" s="3708"/>
      <c r="BE109" s="3707"/>
      <c r="BF109" s="3815"/>
      <c r="BG109" s="3817"/>
      <c r="BH109" s="3815"/>
      <c r="BI109" s="3817"/>
      <c r="BJ109" s="3723"/>
      <c r="QM109" s="1148"/>
      <c r="QN109" s="1148"/>
      <c r="QO109" s="1148"/>
      <c r="QP109" s="1148"/>
      <c r="QQ109" s="1148"/>
      <c r="QR109" s="1148"/>
      <c r="QS109" s="1148"/>
      <c r="QT109" s="1148"/>
      <c r="QU109" s="1148"/>
      <c r="QV109" s="1148"/>
      <c r="QW109" s="1148"/>
      <c r="QX109" s="1148"/>
      <c r="QY109" s="1148"/>
      <c r="QZ109" s="1148"/>
      <c r="RA109" s="1148"/>
      <c r="RB109" s="1148"/>
      <c r="RC109" s="1148"/>
      <c r="RD109" s="1148"/>
      <c r="RE109" s="1148"/>
      <c r="RF109" s="1148"/>
      <c r="RG109" s="1148"/>
      <c r="RH109" s="1148"/>
      <c r="RI109" s="1148"/>
      <c r="RJ109" s="1148"/>
      <c r="RK109" s="1148"/>
      <c r="RL109" s="1148"/>
      <c r="RM109" s="1148"/>
      <c r="RN109" s="1148"/>
      <c r="RO109" s="1148"/>
      <c r="RP109" s="1148"/>
      <c r="RQ109" s="1148"/>
      <c r="RR109" s="1148"/>
      <c r="RS109" s="1148"/>
      <c r="RT109" s="1148"/>
      <c r="RU109" s="1148"/>
      <c r="RV109" s="1148"/>
      <c r="RW109" s="1148"/>
      <c r="RX109" s="1148"/>
      <c r="RY109" s="1148"/>
      <c r="RZ109" s="1148"/>
      <c r="SA109" s="1148"/>
      <c r="SB109" s="1148"/>
      <c r="SC109" s="1148"/>
      <c r="SD109" s="1148"/>
      <c r="SE109" s="1148"/>
      <c r="SF109" s="1148"/>
      <c r="SG109" s="1148"/>
      <c r="SH109" s="1148"/>
      <c r="SI109" s="1148"/>
      <c r="SJ109" s="1148"/>
      <c r="SK109" s="1148"/>
      <c r="SL109" s="1148"/>
      <c r="SM109" s="1148"/>
      <c r="SN109" s="1148"/>
    </row>
    <row r="110" spans="1:508" ht="66.75" customHeight="1" x14ac:dyDescent="0.2">
      <c r="A110" s="3551"/>
      <c r="B110" s="3552"/>
      <c r="C110" s="3553"/>
      <c r="D110" s="3775"/>
      <c r="E110" s="3775"/>
      <c r="F110" s="3776"/>
      <c r="G110" s="1200"/>
      <c r="H110" s="1200"/>
      <c r="I110" s="1201"/>
      <c r="J110" s="3743"/>
      <c r="K110" s="3659"/>
      <c r="L110" s="3628"/>
      <c r="M110" s="3743"/>
      <c r="N110" s="3632"/>
      <c r="O110" s="3634"/>
      <c r="P110" s="3636"/>
      <c r="Q110" s="3659"/>
      <c r="R110" s="3644"/>
      <c r="S110" s="3648"/>
      <c r="T110" s="3659"/>
      <c r="U110" s="3659"/>
      <c r="V110" s="3634"/>
      <c r="W110" s="3648"/>
      <c r="X110" s="3823"/>
      <c r="Y110" s="3823"/>
      <c r="Z110" s="3636"/>
      <c r="AA110" s="3634"/>
      <c r="AB110" s="3761"/>
      <c r="AC110" s="3758"/>
      <c r="AD110" s="3761"/>
      <c r="AE110" s="3758"/>
      <c r="AF110" s="3761"/>
      <c r="AG110" s="3758"/>
      <c r="AH110" s="3761"/>
      <c r="AI110" s="3758"/>
      <c r="AJ110" s="3761"/>
      <c r="AK110" s="3758"/>
      <c r="AL110" s="3761"/>
      <c r="AM110" s="3758"/>
      <c r="AN110" s="3761"/>
      <c r="AO110" s="3758"/>
      <c r="AP110" s="3761"/>
      <c r="AQ110" s="3758"/>
      <c r="AR110" s="3761"/>
      <c r="AS110" s="3758"/>
      <c r="AT110" s="3761"/>
      <c r="AU110" s="3758"/>
      <c r="AV110" s="3761"/>
      <c r="AW110" s="3758"/>
      <c r="AX110" s="3479"/>
      <c r="AY110" s="3476"/>
      <c r="AZ110" s="2315" t="s">
        <v>978</v>
      </c>
      <c r="BA110" s="1121">
        <v>7590000</v>
      </c>
      <c r="BB110" s="1121">
        <v>7590000</v>
      </c>
      <c r="BC110" s="1123">
        <v>100</v>
      </c>
      <c r="BD110" s="1124" t="s">
        <v>954</v>
      </c>
      <c r="BE110" s="3707"/>
      <c r="BF110" s="2315" t="s">
        <v>902</v>
      </c>
      <c r="BG110" s="2321" t="s">
        <v>971</v>
      </c>
      <c r="BH110" s="2315" t="s">
        <v>964</v>
      </c>
      <c r="BI110" s="2321" t="s">
        <v>979</v>
      </c>
      <c r="BJ110" s="3723"/>
      <c r="QM110" s="1148"/>
      <c r="QN110" s="1148"/>
      <c r="QO110" s="1148"/>
      <c r="QP110" s="1148"/>
      <c r="QQ110" s="1148"/>
      <c r="QR110" s="1148"/>
      <c r="QS110" s="1148"/>
      <c r="QT110" s="1148"/>
      <c r="QU110" s="1148"/>
      <c r="QV110" s="1148"/>
      <c r="QW110" s="1148"/>
      <c r="QX110" s="1148"/>
      <c r="QY110" s="1148"/>
      <c r="QZ110" s="1148"/>
      <c r="RA110" s="1148"/>
      <c r="RB110" s="1148"/>
      <c r="RC110" s="1148"/>
      <c r="RD110" s="1148"/>
      <c r="RE110" s="1148"/>
      <c r="RF110" s="1148"/>
      <c r="RG110" s="1148"/>
      <c r="RH110" s="1148"/>
      <c r="RI110" s="1148"/>
      <c r="RJ110" s="1148"/>
      <c r="RK110" s="1148"/>
      <c r="RL110" s="1148"/>
      <c r="RM110" s="1148"/>
      <c r="RN110" s="1148"/>
      <c r="RO110" s="1148"/>
      <c r="RP110" s="1148"/>
      <c r="RQ110" s="1148"/>
      <c r="RR110" s="1148"/>
      <c r="RS110" s="1148"/>
      <c r="RT110" s="1148"/>
      <c r="RU110" s="1148"/>
      <c r="RV110" s="1148"/>
      <c r="RW110" s="1148"/>
      <c r="RX110" s="1148"/>
      <c r="RY110" s="1148"/>
      <c r="RZ110" s="1148"/>
      <c r="SA110" s="1148"/>
      <c r="SB110" s="1148"/>
      <c r="SC110" s="1148"/>
      <c r="SD110" s="1148"/>
      <c r="SE110" s="1148"/>
      <c r="SF110" s="1148"/>
      <c r="SG110" s="1148"/>
      <c r="SH110" s="1148"/>
      <c r="SI110" s="1148"/>
      <c r="SJ110" s="1148"/>
      <c r="SK110" s="1148"/>
      <c r="SL110" s="1148"/>
      <c r="SM110" s="1148"/>
      <c r="SN110" s="1148"/>
    </row>
    <row r="111" spans="1:508" ht="38.25" customHeight="1" x14ac:dyDescent="0.2">
      <c r="A111" s="3551"/>
      <c r="B111" s="3552"/>
      <c r="C111" s="3553"/>
      <c r="D111" s="3775"/>
      <c r="E111" s="3775"/>
      <c r="F111" s="3776"/>
      <c r="G111" s="1200"/>
      <c r="H111" s="1200"/>
      <c r="I111" s="1201"/>
      <c r="J111" s="3743"/>
      <c r="K111" s="3659"/>
      <c r="L111" s="3628"/>
      <c r="M111" s="3743"/>
      <c r="N111" s="3632"/>
      <c r="O111" s="3634"/>
      <c r="P111" s="3636"/>
      <c r="Q111" s="3659"/>
      <c r="R111" s="3644"/>
      <c r="S111" s="3648"/>
      <c r="T111" s="3659"/>
      <c r="U111" s="3659"/>
      <c r="V111" s="3634"/>
      <c r="W111" s="3648"/>
      <c r="X111" s="3823"/>
      <c r="Y111" s="3823"/>
      <c r="Z111" s="3636"/>
      <c r="AA111" s="3634"/>
      <c r="AB111" s="3761"/>
      <c r="AC111" s="3758"/>
      <c r="AD111" s="3761"/>
      <c r="AE111" s="3758"/>
      <c r="AF111" s="3761"/>
      <c r="AG111" s="3758"/>
      <c r="AH111" s="3761"/>
      <c r="AI111" s="3758"/>
      <c r="AJ111" s="3761"/>
      <c r="AK111" s="3758"/>
      <c r="AL111" s="3761"/>
      <c r="AM111" s="3758"/>
      <c r="AN111" s="3761"/>
      <c r="AO111" s="3758"/>
      <c r="AP111" s="3761"/>
      <c r="AQ111" s="3758"/>
      <c r="AR111" s="3761"/>
      <c r="AS111" s="3758"/>
      <c r="AT111" s="3761"/>
      <c r="AU111" s="3758"/>
      <c r="AV111" s="3761"/>
      <c r="AW111" s="3758"/>
      <c r="AX111" s="3479"/>
      <c r="AY111" s="3476"/>
      <c r="AZ111" s="2333" t="s">
        <v>953</v>
      </c>
      <c r="BA111" s="1212">
        <v>3890000</v>
      </c>
      <c r="BB111" s="1212">
        <v>3890000</v>
      </c>
      <c r="BC111" s="2338">
        <v>100</v>
      </c>
      <c r="BD111" s="1213" t="s">
        <v>165</v>
      </c>
      <c r="BE111" s="3707"/>
      <c r="BF111" s="2317">
        <v>42703</v>
      </c>
      <c r="BG111" s="2343">
        <v>42703</v>
      </c>
      <c r="BH111" s="1203">
        <v>42734</v>
      </c>
      <c r="BI111" s="2343">
        <v>42734</v>
      </c>
      <c r="BJ111" s="3723"/>
      <c r="QM111" s="1148"/>
      <c r="QN111" s="1148"/>
      <c r="QO111" s="1148"/>
      <c r="QP111" s="1148"/>
      <c r="QQ111" s="1148"/>
      <c r="QR111" s="1148"/>
      <c r="QS111" s="1148"/>
      <c r="QT111" s="1148"/>
      <c r="QU111" s="1148"/>
      <c r="QV111" s="1148"/>
      <c r="QW111" s="1148"/>
      <c r="QX111" s="1148"/>
      <c r="QY111" s="1148"/>
      <c r="QZ111" s="1148"/>
      <c r="RA111" s="1148"/>
      <c r="RB111" s="1148"/>
      <c r="RC111" s="1148"/>
      <c r="RD111" s="1148"/>
      <c r="RE111" s="1148"/>
      <c r="RF111" s="1148"/>
      <c r="RG111" s="1148"/>
      <c r="RH111" s="1148"/>
      <c r="RI111" s="1148"/>
      <c r="RJ111" s="1148"/>
      <c r="RK111" s="1148"/>
      <c r="RL111" s="1148"/>
      <c r="RM111" s="1148"/>
      <c r="RN111" s="1148"/>
      <c r="RO111" s="1148"/>
      <c r="RP111" s="1148"/>
      <c r="RQ111" s="1148"/>
      <c r="RR111" s="1148"/>
      <c r="RS111" s="1148"/>
      <c r="RT111" s="1148"/>
      <c r="RU111" s="1148"/>
      <c r="RV111" s="1148"/>
      <c r="RW111" s="1148"/>
      <c r="RX111" s="1148"/>
      <c r="RY111" s="1148"/>
      <c r="RZ111" s="1148"/>
      <c r="SA111" s="1148"/>
      <c r="SB111" s="1148"/>
      <c r="SC111" s="1148"/>
      <c r="SD111" s="1148"/>
      <c r="SE111" s="1148"/>
      <c r="SF111" s="1148"/>
      <c r="SG111" s="1148"/>
      <c r="SH111" s="1148"/>
      <c r="SI111" s="1148"/>
      <c r="SJ111" s="1148"/>
      <c r="SK111" s="1148"/>
      <c r="SL111" s="1148"/>
      <c r="SM111" s="1148"/>
      <c r="SN111" s="1148"/>
    </row>
    <row r="112" spans="1:508" ht="43.5" customHeight="1" x14ac:dyDescent="0.2">
      <c r="A112" s="3551"/>
      <c r="B112" s="3552"/>
      <c r="C112" s="3553"/>
      <c r="D112" s="3775"/>
      <c r="E112" s="3775"/>
      <c r="F112" s="3776"/>
      <c r="G112" s="1200"/>
      <c r="H112" s="1200"/>
      <c r="I112" s="1201"/>
      <c r="J112" s="3743"/>
      <c r="K112" s="3659"/>
      <c r="L112" s="3628"/>
      <c r="M112" s="3743"/>
      <c r="N112" s="3632"/>
      <c r="O112" s="3634"/>
      <c r="P112" s="3636"/>
      <c r="Q112" s="3659"/>
      <c r="R112" s="3644"/>
      <c r="S112" s="3648"/>
      <c r="T112" s="3659"/>
      <c r="U112" s="3659"/>
      <c r="V112" s="3635"/>
      <c r="W112" s="3819"/>
      <c r="X112" s="3821"/>
      <c r="Y112" s="3821"/>
      <c r="Z112" s="3636"/>
      <c r="AA112" s="3634"/>
      <c r="AB112" s="3761"/>
      <c r="AC112" s="3758"/>
      <c r="AD112" s="3761"/>
      <c r="AE112" s="3758"/>
      <c r="AF112" s="3761"/>
      <c r="AG112" s="3758"/>
      <c r="AH112" s="3761"/>
      <c r="AI112" s="3758"/>
      <c r="AJ112" s="3761"/>
      <c r="AK112" s="3758"/>
      <c r="AL112" s="3761"/>
      <c r="AM112" s="3758"/>
      <c r="AN112" s="3761"/>
      <c r="AO112" s="3758"/>
      <c r="AP112" s="3761"/>
      <c r="AQ112" s="3758"/>
      <c r="AR112" s="3761"/>
      <c r="AS112" s="3758"/>
      <c r="AT112" s="3761"/>
      <c r="AU112" s="3758"/>
      <c r="AV112" s="3761"/>
      <c r="AW112" s="3758"/>
      <c r="AX112" s="3479"/>
      <c r="AY112" s="3476"/>
      <c r="AZ112" s="2333" t="s">
        <v>980</v>
      </c>
      <c r="BA112" s="1214">
        <v>16153000</v>
      </c>
      <c r="BB112" s="1214">
        <v>16153000</v>
      </c>
      <c r="BC112" s="2337">
        <v>100</v>
      </c>
      <c r="BD112" s="1215" t="s">
        <v>954</v>
      </c>
      <c r="BE112" s="3707"/>
      <c r="BF112" s="2317">
        <v>42703</v>
      </c>
      <c r="BG112" s="2343">
        <v>42703</v>
      </c>
      <c r="BH112" s="1203">
        <v>42734</v>
      </c>
      <c r="BI112" s="2343">
        <v>42734</v>
      </c>
      <c r="BJ112" s="3723"/>
      <c r="QM112" s="1148"/>
      <c r="QN112" s="1148"/>
      <c r="QO112" s="1148"/>
      <c r="QP112" s="1148"/>
      <c r="QQ112" s="1148"/>
      <c r="QR112" s="1148"/>
      <c r="QS112" s="1148"/>
      <c r="QT112" s="1148"/>
      <c r="QU112" s="1148"/>
      <c r="QV112" s="1148"/>
      <c r="QW112" s="1148"/>
      <c r="QX112" s="1148"/>
      <c r="QY112" s="1148"/>
      <c r="QZ112" s="1148"/>
      <c r="RA112" s="1148"/>
      <c r="RB112" s="1148"/>
      <c r="RC112" s="1148"/>
      <c r="RD112" s="1148"/>
      <c r="RE112" s="1148"/>
      <c r="RF112" s="1148"/>
      <c r="RG112" s="1148"/>
      <c r="RH112" s="1148"/>
      <c r="RI112" s="1148"/>
      <c r="RJ112" s="1148"/>
      <c r="RK112" s="1148"/>
      <c r="RL112" s="1148"/>
      <c r="RM112" s="1148"/>
      <c r="RN112" s="1148"/>
      <c r="RO112" s="1148"/>
      <c r="RP112" s="1148"/>
      <c r="RQ112" s="1148"/>
      <c r="RR112" s="1148"/>
      <c r="RS112" s="1148"/>
      <c r="RT112" s="1148"/>
      <c r="RU112" s="1148"/>
      <c r="RV112" s="1148"/>
      <c r="RW112" s="1148"/>
      <c r="RX112" s="1148"/>
      <c r="RY112" s="1148"/>
      <c r="RZ112" s="1148"/>
      <c r="SA112" s="1148"/>
      <c r="SB112" s="1148"/>
      <c r="SC112" s="1148"/>
      <c r="SD112" s="1148"/>
      <c r="SE112" s="1148"/>
      <c r="SF112" s="1148"/>
      <c r="SG112" s="1148"/>
      <c r="SH112" s="1148"/>
      <c r="SI112" s="1148"/>
      <c r="SJ112" s="1148"/>
      <c r="SK112" s="1148"/>
      <c r="SL112" s="1148"/>
      <c r="SM112" s="1148"/>
      <c r="SN112" s="1148"/>
    </row>
    <row r="113" spans="1:509" ht="13.5" customHeight="1" x14ac:dyDescent="0.2">
      <c r="A113" s="3551"/>
      <c r="B113" s="3552"/>
      <c r="C113" s="3553"/>
      <c r="D113" s="3775"/>
      <c r="E113" s="3775"/>
      <c r="F113" s="3776"/>
      <c r="G113" s="1200"/>
      <c r="H113" s="1200"/>
      <c r="I113" s="1201"/>
      <c r="J113" s="3743"/>
      <c r="K113" s="3659"/>
      <c r="L113" s="3628"/>
      <c r="M113" s="3743"/>
      <c r="N113" s="3632"/>
      <c r="O113" s="3634"/>
      <c r="P113" s="3636"/>
      <c r="Q113" s="3659"/>
      <c r="R113" s="3644"/>
      <c r="S113" s="3648"/>
      <c r="T113" s="3659"/>
      <c r="U113" s="3659"/>
      <c r="V113" s="3638" t="s">
        <v>981</v>
      </c>
      <c r="W113" s="3818">
        <v>6800000</v>
      </c>
      <c r="X113" s="3820">
        <v>6800000</v>
      </c>
      <c r="Y113" s="3820">
        <v>6800000</v>
      </c>
      <c r="Z113" s="3636"/>
      <c r="AA113" s="3634"/>
      <c r="AB113" s="3761"/>
      <c r="AC113" s="3758"/>
      <c r="AD113" s="3761"/>
      <c r="AE113" s="3758"/>
      <c r="AF113" s="3761"/>
      <c r="AG113" s="3758"/>
      <c r="AH113" s="3761"/>
      <c r="AI113" s="3758"/>
      <c r="AJ113" s="3761"/>
      <c r="AK113" s="3758"/>
      <c r="AL113" s="3761"/>
      <c r="AM113" s="3758"/>
      <c r="AN113" s="3761"/>
      <c r="AO113" s="3758"/>
      <c r="AP113" s="3761"/>
      <c r="AQ113" s="3758"/>
      <c r="AR113" s="3761"/>
      <c r="AS113" s="3758"/>
      <c r="AT113" s="3761"/>
      <c r="AU113" s="3758"/>
      <c r="AV113" s="3761"/>
      <c r="AW113" s="3758"/>
      <c r="AX113" s="3479"/>
      <c r="AY113" s="3476"/>
      <c r="AZ113" s="3814" t="s">
        <v>982</v>
      </c>
      <c r="BA113" s="3687">
        <v>11317000</v>
      </c>
      <c r="BB113" s="3687">
        <v>11317000</v>
      </c>
      <c r="BC113" s="3471">
        <v>100</v>
      </c>
      <c r="BD113" s="3706" t="s">
        <v>954</v>
      </c>
      <c r="BE113" s="3707"/>
      <c r="BF113" s="3814" t="s">
        <v>902</v>
      </c>
      <c r="BG113" s="3816" t="s">
        <v>983</v>
      </c>
      <c r="BH113" s="3814" t="s">
        <v>964</v>
      </c>
      <c r="BI113" s="3816" t="s">
        <v>984</v>
      </c>
      <c r="BJ113" s="3723"/>
      <c r="QM113" s="1148"/>
      <c r="QN113" s="1148"/>
      <c r="QO113" s="1148"/>
      <c r="QP113" s="1148"/>
      <c r="QQ113" s="1148"/>
      <c r="QR113" s="1148"/>
      <c r="QS113" s="1148"/>
      <c r="QT113" s="1148"/>
      <c r="QU113" s="1148"/>
      <c r="QV113" s="1148"/>
      <c r="QW113" s="1148"/>
      <c r="QX113" s="1148"/>
      <c r="QY113" s="1148"/>
      <c r="QZ113" s="1148"/>
      <c r="RA113" s="1148"/>
      <c r="RB113" s="1148"/>
      <c r="RC113" s="1148"/>
      <c r="RD113" s="1148"/>
      <c r="RE113" s="1148"/>
      <c r="RF113" s="1148"/>
      <c r="RG113" s="1148"/>
      <c r="RH113" s="1148"/>
      <c r="RI113" s="1148"/>
      <c r="RJ113" s="1148"/>
      <c r="RK113" s="1148"/>
      <c r="RL113" s="1148"/>
      <c r="RM113" s="1148"/>
      <c r="RN113" s="1148"/>
      <c r="RO113" s="1148"/>
      <c r="RP113" s="1148"/>
      <c r="RQ113" s="1148"/>
      <c r="RR113" s="1148"/>
      <c r="RS113" s="1148"/>
      <c r="RT113" s="1148"/>
      <c r="RU113" s="1148"/>
      <c r="RV113" s="1148"/>
      <c r="RW113" s="1148"/>
      <c r="RX113" s="1148"/>
      <c r="RY113" s="1148"/>
      <c r="RZ113" s="1148"/>
      <c r="SA113" s="1148"/>
      <c r="SB113" s="1148"/>
      <c r="SC113" s="1148"/>
      <c r="SD113" s="1148"/>
      <c r="SE113" s="1148"/>
      <c r="SF113" s="1148"/>
      <c r="SG113" s="1148"/>
      <c r="SH113" s="1148"/>
      <c r="SI113" s="1148"/>
      <c r="SJ113" s="1148"/>
      <c r="SK113" s="1148"/>
      <c r="SL113" s="1148"/>
      <c r="SM113" s="1148"/>
      <c r="SN113" s="1148"/>
    </row>
    <row r="114" spans="1:509" ht="14.25" customHeight="1" x14ac:dyDescent="0.2">
      <c r="A114" s="3551"/>
      <c r="B114" s="3552"/>
      <c r="C114" s="3553"/>
      <c r="D114" s="3775"/>
      <c r="E114" s="3775"/>
      <c r="F114" s="3776"/>
      <c r="G114" s="1200"/>
      <c r="H114" s="1200"/>
      <c r="I114" s="1201"/>
      <c r="J114" s="3743"/>
      <c r="K114" s="3659"/>
      <c r="L114" s="3628"/>
      <c r="M114" s="3743"/>
      <c r="N114" s="3632"/>
      <c r="O114" s="3634"/>
      <c r="P114" s="3636"/>
      <c r="Q114" s="3659"/>
      <c r="R114" s="3644"/>
      <c r="S114" s="3648"/>
      <c r="T114" s="3659"/>
      <c r="U114" s="3659"/>
      <c r="V114" s="3659"/>
      <c r="W114" s="3648"/>
      <c r="X114" s="3823"/>
      <c r="Y114" s="3823"/>
      <c r="Z114" s="3636"/>
      <c r="AA114" s="3634"/>
      <c r="AB114" s="3761"/>
      <c r="AC114" s="3758"/>
      <c r="AD114" s="3761"/>
      <c r="AE114" s="3758"/>
      <c r="AF114" s="3761"/>
      <c r="AG114" s="3758"/>
      <c r="AH114" s="3761"/>
      <c r="AI114" s="3758"/>
      <c r="AJ114" s="3761"/>
      <c r="AK114" s="3758"/>
      <c r="AL114" s="3761"/>
      <c r="AM114" s="3758"/>
      <c r="AN114" s="3761"/>
      <c r="AO114" s="3758"/>
      <c r="AP114" s="3761"/>
      <c r="AQ114" s="3758"/>
      <c r="AR114" s="3761"/>
      <c r="AS114" s="3758"/>
      <c r="AT114" s="3761"/>
      <c r="AU114" s="3758"/>
      <c r="AV114" s="3761"/>
      <c r="AW114" s="3758"/>
      <c r="AX114" s="3479"/>
      <c r="AY114" s="3476"/>
      <c r="AZ114" s="3815"/>
      <c r="BA114" s="3700"/>
      <c r="BB114" s="3700"/>
      <c r="BC114" s="3705"/>
      <c r="BD114" s="3707"/>
      <c r="BE114" s="3707"/>
      <c r="BF114" s="3815"/>
      <c r="BG114" s="3817"/>
      <c r="BH114" s="3815"/>
      <c r="BI114" s="3817"/>
      <c r="BJ114" s="3723"/>
      <c r="QM114" s="1148"/>
      <c r="QN114" s="1148"/>
      <c r="QO114" s="1148"/>
      <c r="QP114" s="1148"/>
      <c r="QQ114" s="1148"/>
      <c r="QR114" s="1148"/>
      <c r="QS114" s="1148"/>
      <c r="QT114" s="1148"/>
      <c r="QU114" s="1148"/>
      <c r="QV114" s="1148"/>
      <c r="QW114" s="1148"/>
      <c r="QX114" s="1148"/>
      <c r="QY114" s="1148"/>
      <c r="QZ114" s="1148"/>
      <c r="RA114" s="1148"/>
      <c r="RB114" s="1148"/>
      <c r="RC114" s="1148"/>
      <c r="RD114" s="1148"/>
      <c r="RE114" s="1148"/>
      <c r="RF114" s="1148"/>
      <c r="RG114" s="1148"/>
      <c r="RH114" s="1148"/>
      <c r="RI114" s="1148"/>
      <c r="RJ114" s="1148"/>
      <c r="RK114" s="1148"/>
      <c r="RL114" s="1148"/>
      <c r="RM114" s="1148"/>
      <c r="RN114" s="1148"/>
      <c r="RO114" s="1148"/>
      <c r="RP114" s="1148"/>
      <c r="RQ114" s="1148"/>
      <c r="RR114" s="1148"/>
      <c r="RS114" s="1148"/>
      <c r="RT114" s="1148"/>
      <c r="RU114" s="1148"/>
      <c r="RV114" s="1148"/>
      <c r="RW114" s="1148"/>
      <c r="RX114" s="1148"/>
      <c r="RY114" s="1148"/>
      <c r="RZ114" s="1148"/>
      <c r="SA114" s="1148"/>
      <c r="SB114" s="1148"/>
      <c r="SC114" s="1148"/>
      <c r="SD114" s="1148"/>
      <c r="SE114" s="1148"/>
      <c r="SF114" s="1148"/>
      <c r="SG114" s="1148"/>
      <c r="SH114" s="1148"/>
      <c r="SI114" s="1148"/>
      <c r="SJ114" s="1148"/>
      <c r="SK114" s="1148"/>
      <c r="SL114" s="1148"/>
      <c r="SM114" s="1148"/>
      <c r="SN114" s="1148"/>
    </row>
    <row r="115" spans="1:509" ht="28.5" customHeight="1" x14ac:dyDescent="0.2">
      <c r="A115" s="3551"/>
      <c r="B115" s="3552"/>
      <c r="C115" s="3553"/>
      <c r="D115" s="3775"/>
      <c r="E115" s="3775"/>
      <c r="F115" s="3776"/>
      <c r="G115" s="1200"/>
      <c r="H115" s="1200"/>
      <c r="I115" s="1201"/>
      <c r="J115" s="3743"/>
      <c r="K115" s="3659"/>
      <c r="L115" s="3628"/>
      <c r="M115" s="3743"/>
      <c r="N115" s="3633"/>
      <c r="O115" s="3635"/>
      <c r="P115" s="3658"/>
      <c r="Q115" s="3659"/>
      <c r="R115" s="3644"/>
      <c r="S115" s="3648"/>
      <c r="T115" s="3659"/>
      <c r="U115" s="3637"/>
      <c r="V115" s="3637"/>
      <c r="W115" s="3819"/>
      <c r="X115" s="3821"/>
      <c r="Y115" s="3821"/>
      <c r="Z115" s="3658"/>
      <c r="AA115" s="3635"/>
      <c r="AB115" s="3761"/>
      <c r="AC115" s="3759"/>
      <c r="AD115" s="3761"/>
      <c r="AE115" s="3759"/>
      <c r="AF115" s="3761"/>
      <c r="AG115" s="3759"/>
      <c r="AH115" s="3761"/>
      <c r="AI115" s="3759"/>
      <c r="AJ115" s="3761"/>
      <c r="AK115" s="3759"/>
      <c r="AL115" s="3761"/>
      <c r="AM115" s="3759"/>
      <c r="AN115" s="3761"/>
      <c r="AO115" s="3759"/>
      <c r="AP115" s="3762"/>
      <c r="AQ115" s="3759"/>
      <c r="AR115" s="3761"/>
      <c r="AS115" s="3759"/>
      <c r="AT115" s="3761"/>
      <c r="AU115" s="3759"/>
      <c r="AV115" s="3761"/>
      <c r="AW115" s="3759"/>
      <c r="AX115" s="3479"/>
      <c r="AY115" s="3477"/>
      <c r="AZ115" s="3824"/>
      <c r="BA115" s="3688"/>
      <c r="BB115" s="3688"/>
      <c r="BC115" s="3472"/>
      <c r="BD115" s="3708"/>
      <c r="BE115" s="3708"/>
      <c r="BF115" s="3824"/>
      <c r="BG115" s="3825"/>
      <c r="BH115" s="3824"/>
      <c r="BI115" s="3825"/>
      <c r="BJ115" s="3723"/>
      <c r="QM115" s="1148"/>
      <c r="QN115" s="1148"/>
      <c r="QO115" s="1148"/>
      <c r="QP115" s="1148"/>
      <c r="QQ115" s="1148"/>
      <c r="QR115" s="1148"/>
      <c r="QS115" s="1148"/>
      <c r="QT115" s="1148"/>
      <c r="QU115" s="1148"/>
      <c r="QV115" s="1148"/>
      <c r="QW115" s="1148"/>
      <c r="QX115" s="1148"/>
      <c r="QY115" s="1148"/>
      <c r="QZ115" s="1148"/>
      <c r="RA115" s="1148"/>
      <c r="RB115" s="1148"/>
      <c r="RC115" s="1148"/>
      <c r="RD115" s="1148"/>
      <c r="RE115" s="1148"/>
      <c r="RF115" s="1148"/>
      <c r="RG115" s="1148"/>
      <c r="RH115" s="1148"/>
      <c r="RI115" s="1148"/>
      <c r="RJ115" s="1148"/>
      <c r="RK115" s="1148"/>
      <c r="RL115" s="1148"/>
      <c r="RM115" s="1148"/>
      <c r="RN115" s="1148"/>
      <c r="RO115" s="1148"/>
      <c r="RP115" s="1148"/>
      <c r="RQ115" s="1148"/>
      <c r="RR115" s="1148"/>
      <c r="RS115" s="1148"/>
      <c r="RT115" s="1148"/>
      <c r="RU115" s="1148"/>
      <c r="RV115" s="1148"/>
      <c r="RW115" s="1148"/>
      <c r="RX115" s="1148"/>
      <c r="RY115" s="1148"/>
      <c r="RZ115" s="1148"/>
      <c r="SA115" s="1148"/>
      <c r="SB115" s="1148"/>
      <c r="SC115" s="1148"/>
      <c r="SD115" s="1148"/>
      <c r="SE115" s="1148"/>
      <c r="SF115" s="1148"/>
      <c r="SG115" s="1148"/>
      <c r="SH115" s="1148"/>
      <c r="SI115" s="1148"/>
      <c r="SJ115" s="1148"/>
      <c r="SK115" s="1148"/>
      <c r="SL115" s="1148"/>
      <c r="SM115" s="1148"/>
      <c r="SN115" s="1148"/>
    </row>
    <row r="116" spans="1:509" s="1149" customFormat="1" ht="82.5" customHeight="1" x14ac:dyDescent="0.2">
      <c r="A116" s="3551"/>
      <c r="B116" s="3552"/>
      <c r="C116" s="3553"/>
      <c r="D116" s="3775"/>
      <c r="E116" s="3775"/>
      <c r="F116" s="3776"/>
      <c r="G116" s="1187"/>
      <c r="H116" s="1187"/>
      <c r="I116" s="1216"/>
      <c r="J116" s="3564">
        <v>52</v>
      </c>
      <c r="K116" s="3567" t="s">
        <v>956</v>
      </c>
      <c r="L116" s="3694" t="s">
        <v>19</v>
      </c>
      <c r="M116" s="3670">
        <v>3</v>
      </c>
      <c r="N116" s="3697">
        <v>3</v>
      </c>
      <c r="O116" s="3672" t="s">
        <v>985</v>
      </c>
      <c r="P116" s="3604">
        <v>61</v>
      </c>
      <c r="Q116" s="3567" t="s">
        <v>986</v>
      </c>
      <c r="R116" s="3717">
        <v>1</v>
      </c>
      <c r="S116" s="3582">
        <v>4200000</v>
      </c>
      <c r="T116" s="3567" t="s">
        <v>987</v>
      </c>
      <c r="U116" s="2349" t="s">
        <v>988</v>
      </c>
      <c r="V116" s="2349" t="s">
        <v>989</v>
      </c>
      <c r="W116" s="3582">
        <v>4200000</v>
      </c>
      <c r="X116" s="3601">
        <v>4200000</v>
      </c>
      <c r="Y116" s="3601">
        <v>4200000</v>
      </c>
      <c r="Z116" s="3607">
        <v>20</v>
      </c>
      <c r="AA116" s="3672" t="s">
        <v>130</v>
      </c>
      <c r="AB116" s="3485">
        <f>AB102</f>
        <v>64149</v>
      </c>
      <c r="AC116" s="3482">
        <f>+AB116/$W$116*$Y$116</f>
        <v>64149</v>
      </c>
      <c r="AD116" s="3485" t="s">
        <v>811</v>
      </c>
      <c r="AE116" s="3482">
        <f>+AD116/$W$116*$Y$116</f>
        <v>72224</v>
      </c>
      <c r="AF116" s="3485" t="s">
        <v>812</v>
      </c>
      <c r="AG116" s="3482">
        <f>+AF116/$W$116*$Y$116</f>
        <v>27477</v>
      </c>
      <c r="AH116" s="3485" t="s">
        <v>813</v>
      </c>
      <c r="AI116" s="3482">
        <f>+AH116/$W$116*$Y$116</f>
        <v>86843</v>
      </c>
      <c r="AJ116" s="3485" t="s">
        <v>814</v>
      </c>
      <c r="AK116" s="3482">
        <f>+AJ116/$W$116*$Y$116</f>
        <v>236429</v>
      </c>
      <c r="AL116" s="3485" t="s">
        <v>815</v>
      </c>
      <c r="AM116" s="3482">
        <f>+AL116/$W$116*$Y$116</f>
        <v>81384</v>
      </c>
      <c r="AN116" s="3485">
        <v>13208</v>
      </c>
      <c r="AO116" s="3482">
        <f>+AN116/$W$116*$Y$116</f>
        <v>13208</v>
      </c>
      <c r="AP116" s="3485">
        <v>1827</v>
      </c>
      <c r="AQ116" s="3482">
        <f>+AP116/$W$116*$Y$116</f>
        <v>1827</v>
      </c>
      <c r="AR116" s="3485"/>
      <c r="AS116" s="3482"/>
      <c r="AT116" s="3485"/>
      <c r="AU116" s="3482"/>
      <c r="AV116" s="3485">
        <v>16897</v>
      </c>
      <c r="AW116" s="3482">
        <f>+AV116/$W$116*$Y$116</f>
        <v>16897</v>
      </c>
      <c r="AX116" s="3485">
        <v>81384</v>
      </c>
      <c r="AY116" s="3482">
        <f>+AX116/$W$116*$Y$116</f>
        <v>81384</v>
      </c>
      <c r="AZ116" s="3670" t="s">
        <v>990</v>
      </c>
      <c r="BA116" s="3794">
        <v>4200000</v>
      </c>
      <c r="BB116" s="3842">
        <v>4200000</v>
      </c>
      <c r="BC116" s="3670">
        <v>100</v>
      </c>
      <c r="BD116" s="3670" t="s">
        <v>714</v>
      </c>
      <c r="BE116" s="3842" t="s">
        <v>991</v>
      </c>
      <c r="BF116" s="3827">
        <v>42508</v>
      </c>
      <c r="BG116" s="3829">
        <v>42508</v>
      </c>
      <c r="BH116" s="3827">
        <v>42599</v>
      </c>
      <c r="BI116" s="3829">
        <v>42599</v>
      </c>
      <c r="BJ116" s="3723"/>
      <c r="BK116" s="1148"/>
      <c r="BL116" s="1148"/>
      <c r="BM116" s="1148"/>
      <c r="BN116" s="1148"/>
      <c r="BO116" s="1148"/>
      <c r="BP116" s="1148"/>
      <c r="BQ116" s="1148"/>
      <c r="BR116" s="1148"/>
      <c r="BS116" s="1148"/>
      <c r="BT116" s="1148"/>
      <c r="BU116" s="1148"/>
      <c r="BV116" s="1148"/>
      <c r="BW116" s="1148"/>
      <c r="BX116" s="1148"/>
      <c r="BY116" s="1148"/>
      <c r="BZ116" s="1148"/>
      <c r="CA116" s="1148"/>
      <c r="CB116" s="1148"/>
      <c r="CC116" s="1148"/>
      <c r="CD116" s="1148"/>
      <c r="CE116" s="1148"/>
      <c r="CF116" s="1148"/>
      <c r="CG116" s="1148"/>
      <c r="CH116" s="1148"/>
      <c r="CI116" s="1148"/>
      <c r="CJ116" s="1148"/>
      <c r="CK116" s="1148"/>
      <c r="CL116" s="1148"/>
      <c r="CM116" s="1148"/>
      <c r="CN116" s="1148"/>
      <c r="CO116" s="1148"/>
      <c r="CP116" s="1148"/>
      <c r="CQ116" s="1148"/>
      <c r="CR116" s="1148"/>
      <c r="CS116" s="1148"/>
      <c r="CT116" s="1148"/>
      <c r="CU116" s="1148"/>
      <c r="CV116" s="1148"/>
      <c r="CW116" s="1148"/>
      <c r="CX116" s="1148"/>
      <c r="CY116" s="1148"/>
      <c r="CZ116" s="1148"/>
      <c r="DA116" s="1148"/>
      <c r="DB116" s="1148"/>
      <c r="DC116" s="1148"/>
      <c r="DD116" s="1148"/>
      <c r="DE116" s="1148"/>
      <c r="DF116" s="1148"/>
      <c r="DG116" s="1148"/>
      <c r="DH116" s="1148"/>
      <c r="DI116" s="1148"/>
      <c r="DJ116" s="1148"/>
      <c r="DK116" s="1148"/>
      <c r="DL116" s="1148"/>
      <c r="DM116" s="1148"/>
      <c r="DN116" s="1148"/>
      <c r="DO116" s="1148"/>
      <c r="DP116" s="1148"/>
      <c r="DQ116" s="1148"/>
      <c r="DR116" s="1148"/>
      <c r="DS116" s="1148"/>
      <c r="DT116" s="1148"/>
      <c r="DU116" s="1148"/>
      <c r="DV116" s="1148"/>
      <c r="DW116" s="1148"/>
      <c r="DX116" s="1148"/>
      <c r="DY116" s="1148"/>
      <c r="DZ116" s="1148"/>
      <c r="EA116" s="1148"/>
      <c r="EB116" s="1148"/>
      <c r="EC116" s="1148"/>
      <c r="ED116" s="1148"/>
      <c r="EE116" s="1148"/>
      <c r="EF116" s="1148"/>
      <c r="EG116" s="1148"/>
      <c r="EH116" s="1148"/>
      <c r="EI116" s="1148"/>
      <c r="EJ116" s="1148"/>
      <c r="EK116" s="1148"/>
      <c r="EL116" s="1148"/>
      <c r="EM116" s="1148"/>
      <c r="EN116" s="1148"/>
      <c r="EO116" s="1148"/>
      <c r="EP116" s="1148"/>
      <c r="EQ116" s="1148"/>
      <c r="ER116" s="1148"/>
      <c r="ES116" s="1148"/>
      <c r="ET116" s="1148"/>
      <c r="EU116" s="1148"/>
      <c r="EV116" s="1148"/>
      <c r="EW116" s="1148"/>
      <c r="EX116" s="1148"/>
      <c r="EY116" s="1148"/>
      <c r="EZ116" s="1148"/>
      <c r="FA116" s="1148"/>
      <c r="FB116" s="1148"/>
      <c r="FC116" s="1148"/>
      <c r="FD116" s="1148"/>
      <c r="FE116" s="1148"/>
      <c r="FF116" s="1148"/>
      <c r="FG116" s="1148"/>
      <c r="FH116" s="1148"/>
      <c r="FI116" s="1148"/>
      <c r="FJ116" s="1148"/>
      <c r="FK116" s="1148"/>
      <c r="FL116" s="1148"/>
      <c r="FM116" s="1148"/>
      <c r="FN116" s="1148"/>
      <c r="FO116" s="1148"/>
      <c r="FP116" s="1148"/>
      <c r="FQ116" s="1148"/>
      <c r="FR116" s="1148"/>
      <c r="FS116" s="1148"/>
      <c r="FT116" s="1148"/>
      <c r="FU116" s="1148"/>
      <c r="FV116" s="1148"/>
      <c r="FW116" s="1148"/>
      <c r="FX116" s="1148"/>
      <c r="FY116" s="1148"/>
      <c r="FZ116" s="1148"/>
      <c r="GA116" s="1148"/>
      <c r="GB116" s="1148"/>
      <c r="GC116" s="1148"/>
      <c r="GD116" s="1148"/>
      <c r="GE116" s="1148"/>
      <c r="GF116" s="1148"/>
      <c r="GG116" s="1148"/>
      <c r="GH116" s="1148"/>
      <c r="GI116" s="1148"/>
      <c r="GJ116" s="1148"/>
      <c r="GK116" s="1148"/>
      <c r="GL116" s="1148"/>
      <c r="GM116" s="1148"/>
      <c r="GN116" s="1148"/>
      <c r="GO116" s="1148"/>
      <c r="GP116" s="1148"/>
      <c r="GQ116" s="1148"/>
      <c r="GR116" s="1148"/>
      <c r="GS116" s="1148"/>
      <c r="GT116" s="1148"/>
      <c r="GU116" s="1148"/>
      <c r="GV116" s="1148"/>
      <c r="GW116" s="1148"/>
      <c r="GX116" s="1148"/>
      <c r="GY116" s="1148"/>
      <c r="GZ116" s="1148"/>
      <c r="HA116" s="1148"/>
      <c r="HB116" s="1148"/>
      <c r="HC116" s="1148"/>
      <c r="HD116" s="1148"/>
      <c r="HE116" s="1148"/>
      <c r="HF116" s="1148"/>
      <c r="HG116" s="1148"/>
      <c r="HH116" s="1148"/>
      <c r="HI116" s="1148"/>
      <c r="HJ116" s="1148"/>
      <c r="HK116" s="1148"/>
      <c r="HL116" s="1148"/>
      <c r="HM116" s="1148"/>
      <c r="HN116" s="1148"/>
      <c r="HO116" s="1148"/>
      <c r="HP116" s="1148"/>
      <c r="HQ116" s="1148"/>
      <c r="HR116" s="1148"/>
      <c r="HS116" s="1148"/>
      <c r="HT116" s="1148"/>
      <c r="HU116" s="1148"/>
      <c r="HV116" s="1148"/>
      <c r="HW116" s="1148"/>
      <c r="HX116" s="1148"/>
      <c r="HY116" s="1148"/>
      <c r="HZ116" s="1148"/>
      <c r="IA116" s="1148"/>
      <c r="IB116" s="1148"/>
      <c r="IC116" s="1148"/>
      <c r="ID116" s="1148"/>
      <c r="IE116" s="1148"/>
      <c r="IF116" s="1148"/>
      <c r="IG116" s="1148"/>
      <c r="IH116" s="1148"/>
      <c r="II116" s="1148"/>
      <c r="IJ116" s="1148"/>
      <c r="IK116" s="1148"/>
      <c r="IL116" s="1148"/>
      <c r="IM116" s="1148"/>
      <c r="IN116" s="1148"/>
      <c r="IO116" s="1148"/>
      <c r="IP116" s="1148"/>
      <c r="IQ116" s="1148"/>
      <c r="IR116" s="1148"/>
      <c r="IS116" s="1148"/>
      <c r="IT116" s="1148"/>
      <c r="IU116" s="1148"/>
      <c r="IV116" s="1148"/>
      <c r="IW116" s="1148"/>
      <c r="IX116" s="1148"/>
      <c r="IY116" s="1148"/>
      <c r="IZ116" s="1148"/>
      <c r="JA116" s="1148"/>
      <c r="JB116" s="1148"/>
      <c r="JC116" s="1148"/>
      <c r="JD116" s="1148"/>
      <c r="JE116" s="1148"/>
      <c r="JF116" s="1148"/>
      <c r="JG116" s="1148"/>
      <c r="JH116" s="1148"/>
      <c r="JI116" s="1148"/>
      <c r="JJ116" s="1148"/>
      <c r="JK116" s="1148"/>
      <c r="JL116" s="1148"/>
      <c r="JM116" s="1148"/>
      <c r="JN116" s="1148"/>
      <c r="JO116" s="1148"/>
      <c r="JP116" s="1148"/>
      <c r="JQ116" s="1148"/>
      <c r="JR116" s="1148"/>
      <c r="JS116" s="1148"/>
      <c r="JT116" s="1148"/>
      <c r="JU116" s="1148"/>
      <c r="JV116" s="1148"/>
      <c r="JW116" s="1148"/>
      <c r="JX116" s="1148"/>
      <c r="JY116" s="1148"/>
      <c r="JZ116" s="1148"/>
      <c r="KA116" s="1148"/>
      <c r="KB116" s="1148"/>
      <c r="KC116" s="1148"/>
      <c r="KD116" s="1148"/>
      <c r="KE116" s="1148"/>
      <c r="KF116" s="1148"/>
      <c r="KG116" s="1148"/>
      <c r="KH116" s="1148"/>
      <c r="KI116" s="1148"/>
      <c r="KJ116" s="1148"/>
      <c r="KK116" s="1148"/>
      <c r="KL116" s="1148"/>
      <c r="KM116" s="1148"/>
      <c r="KN116" s="1148"/>
      <c r="KO116" s="1148"/>
      <c r="KP116" s="1148"/>
      <c r="KQ116" s="1148"/>
      <c r="KR116" s="1148"/>
      <c r="KS116" s="1148"/>
      <c r="KT116" s="1148"/>
      <c r="KU116" s="1148"/>
      <c r="KV116" s="1148"/>
      <c r="KW116" s="1148"/>
      <c r="KX116" s="1148"/>
      <c r="KY116" s="1148"/>
      <c r="KZ116" s="1148"/>
      <c r="LA116" s="1148"/>
      <c r="LB116" s="1148"/>
      <c r="LC116" s="1148"/>
      <c r="LD116" s="1148"/>
      <c r="LE116" s="1148"/>
      <c r="LF116" s="1148"/>
      <c r="LG116" s="1148"/>
      <c r="LH116" s="1148"/>
      <c r="LI116" s="1148"/>
      <c r="LJ116" s="1148"/>
      <c r="LK116" s="1148"/>
      <c r="LL116" s="1148"/>
      <c r="LM116" s="1148"/>
      <c r="LN116" s="1148"/>
      <c r="LO116" s="1148"/>
      <c r="LP116" s="1148"/>
      <c r="LQ116" s="1148"/>
      <c r="LR116" s="1148"/>
      <c r="LS116" s="1148"/>
      <c r="LT116" s="1148"/>
      <c r="LU116" s="1148"/>
      <c r="LV116" s="1148"/>
      <c r="LW116" s="1148"/>
      <c r="LX116" s="1148"/>
      <c r="LY116" s="1148"/>
      <c r="LZ116" s="1148"/>
      <c r="MA116" s="1148"/>
      <c r="MB116" s="1148"/>
      <c r="MC116" s="1148"/>
      <c r="MD116" s="1148"/>
      <c r="ME116" s="1148"/>
      <c r="MF116" s="1148"/>
      <c r="MG116" s="1148"/>
      <c r="MH116" s="1148"/>
      <c r="MI116" s="1148"/>
      <c r="MJ116" s="1148"/>
      <c r="MK116" s="1148"/>
      <c r="ML116" s="1148"/>
      <c r="MM116" s="1148"/>
      <c r="MN116" s="1148"/>
      <c r="MO116" s="1148"/>
      <c r="MP116" s="1148"/>
      <c r="MQ116" s="1148"/>
      <c r="MR116" s="1148"/>
      <c r="MS116" s="1148"/>
      <c r="MT116" s="1148"/>
      <c r="MU116" s="1148"/>
      <c r="MV116" s="1148"/>
      <c r="MW116" s="1148"/>
      <c r="MX116" s="1148"/>
      <c r="MY116" s="1148"/>
      <c r="MZ116" s="1148"/>
      <c r="NA116" s="1148"/>
      <c r="NB116" s="1148"/>
      <c r="NC116" s="1148"/>
      <c r="ND116" s="1148"/>
      <c r="NE116" s="1148"/>
      <c r="NF116" s="1148"/>
      <c r="NG116" s="1148"/>
      <c r="NH116" s="1148"/>
      <c r="NI116" s="1148"/>
      <c r="NJ116" s="1148"/>
      <c r="NK116" s="1148"/>
      <c r="NL116" s="1148"/>
      <c r="NM116" s="1148"/>
      <c r="NN116" s="1148"/>
      <c r="NO116" s="1148"/>
      <c r="NP116" s="1148"/>
      <c r="NQ116" s="1148"/>
      <c r="NR116" s="1148"/>
      <c r="NS116" s="1148"/>
      <c r="NT116" s="1148"/>
      <c r="NU116" s="1148"/>
      <c r="NV116" s="1148"/>
      <c r="NW116" s="1148"/>
      <c r="NX116" s="1148"/>
      <c r="NY116" s="1148"/>
      <c r="NZ116" s="1148"/>
      <c r="OA116" s="1148"/>
      <c r="OB116" s="1148"/>
      <c r="OC116" s="1148"/>
      <c r="OD116" s="1148"/>
      <c r="OE116" s="1148"/>
      <c r="OF116" s="1148"/>
      <c r="OG116" s="1148"/>
      <c r="OH116" s="1148"/>
      <c r="OI116" s="1148"/>
      <c r="OJ116" s="1148"/>
      <c r="OK116" s="1148"/>
      <c r="OL116" s="1148"/>
      <c r="OM116" s="1148"/>
      <c r="ON116" s="1148"/>
      <c r="OO116" s="1148"/>
      <c r="OP116" s="1148"/>
      <c r="OQ116" s="1148"/>
      <c r="OR116" s="1148"/>
      <c r="OS116" s="1148"/>
      <c r="OT116" s="1148"/>
      <c r="OU116" s="1148"/>
      <c r="OV116" s="1148"/>
      <c r="OW116" s="1148"/>
      <c r="OX116" s="1148"/>
      <c r="OY116" s="1148"/>
      <c r="OZ116" s="1148"/>
      <c r="PA116" s="1148"/>
      <c r="PB116" s="1148"/>
      <c r="PC116" s="1148"/>
      <c r="PD116" s="1148"/>
      <c r="PE116" s="1148"/>
      <c r="PF116" s="1148"/>
      <c r="PG116" s="1148"/>
      <c r="PH116" s="1148"/>
      <c r="PI116" s="1148"/>
      <c r="PJ116" s="1148"/>
      <c r="PK116" s="1148"/>
      <c r="PL116" s="1148"/>
      <c r="PM116" s="1148"/>
      <c r="PN116" s="1148"/>
      <c r="PO116" s="1148"/>
      <c r="PP116" s="1148"/>
      <c r="PQ116" s="1148"/>
      <c r="PR116" s="1148"/>
      <c r="PS116" s="1148"/>
      <c r="PT116" s="1148"/>
      <c r="PU116" s="1148"/>
      <c r="PV116" s="1148"/>
      <c r="PW116" s="1148"/>
      <c r="PX116" s="1148"/>
      <c r="PY116" s="1148"/>
      <c r="PZ116" s="1148"/>
      <c r="QA116" s="1148"/>
      <c r="QB116" s="1148"/>
      <c r="QC116" s="1148"/>
      <c r="QD116" s="1148"/>
      <c r="QE116" s="1148"/>
      <c r="QF116" s="1148"/>
      <c r="QG116" s="1148"/>
      <c r="QH116" s="1148"/>
      <c r="QI116" s="1148"/>
      <c r="QJ116" s="1148"/>
      <c r="QK116" s="1148"/>
      <c r="QL116" s="1148"/>
      <c r="QM116" s="1148"/>
      <c r="QN116" s="1148"/>
      <c r="QO116" s="1148"/>
      <c r="QP116" s="1148"/>
      <c r="QQ116" s="1148"/>
      <c r="QR116" s="1148"/>
      <c r="QS116" s="1148"/>
      <c r="QT116" s="1148"/>
      <c r="QU116" s="1148"/>
      <c r="QV116" s="1148"/>
      <c r="QW116" s="1148"/>
      <c r="QX116" s="1148"/>
      <c r="QY116" s="1148"/>
      <c r="QZ116" s="1148"/>
      <c r="RA116" s="1148"/>
      <c r="RB116" s="1148"/>
      <c r="RC116" s="1148"/>
      <c r="RD116" s="1148"/>
      <c r="RE116" s="1148"/>
      <c r="RF116" s="1148"/>
      <c r="RG116" s="1148"/>
      <c r="RH116" s="1148"/>
      <c r="RI116" s="1148"/>
      <c r="RJ116" s="1148"/>
      <c r="RK116" s="1148"/>
      <c r="RL116" s="1148"/>
      <c r="RM116" s="1148"/>
      <c r="RN116" s="1148"/>
      <c r="RO116" s="1148"/>
      <c r="RP116" s="1148"/>
      <c r="RQ116" s="1148"/>
      <c r="RR116" s="1148"/>
      <c r="RS116" s="1148"/>
      <c r="RT116" s="1148"/>
      <c r="RU116" s="1148"/>
      <c r="RV116" s="1148"/>
      <c r="RW116" s="1148"/>
      <c r="RX116" s="1148"/>
      <c r="RY116" s="1148"/>
      <c r="RZ116" s="1148"/>
      <c r="SA116" s="1148"/>
      <c r="SB116" s="1148"/>
      <c r="SC116" s="1148"/>
      <c r="SD116" s="1148"/>
      <c r="SE116" s="1148"/>
      <c r="SF116" s="1148"/>
      <c r="SG116" s="1148"/>
      <c r="SH116" s="1148"/>
      <c r="SI116" s="1148"/>
      <c r="SJ116" s="1148"/>
      <c r="SK116" s="1148"/>
      <c r="SL116" s="1148"/>
      <c r="SM116" s="1148"/>
      <c r="SN116" s="1148"/>
      <c r="SO116" s="1164"/>
    </row>
    <row r="117" spans="1:509" s="1148" customFormat="1" ht="91.5" customHeight="1" x14ac:dyDescent="0.2">
      <c r="A117" s="3551"/>
      <c r="B117" s="3552"/>
      <c r="C117" s="3553"/>
      <c r="D117" s="3775"/>
      <c r="E117" s="3775"/>
      <c r="F117" s="3776"/>
      <c r="G117" s="1187"/>
      <c r="H117" s="1187"/>
      <c r="I117" s="1216"/>
      <c r="J117" s="3782"/>
      <c r="K117" s="3626"/>
      <c r="L117" s="3696"/>
      <c r="M117" s="3624"/>
      <c r="N117" s="3699"/>
      <c r="O117" s="3674"/>
      <c r="P117" s="3606"/>
      <c r="Q117" s="3626"/>
      <c r="R117" s="3719"/>
      <c r="S117" s="3650"/>
      <c r="T117" s="3626"/>
      <c r="U117" s="2349" t="s">
        <v>992</v>
      </c>
      <c r="V117" s="2349" t="s">
        <v>993</v>
      </c>
      <c r="W117" s="3650"/>
      <c r="X117" s="3603"/>
      <c r="Y117" s="3603"/>
      <c r="Z117" s="3609"/>
      <c r="AA117" s="3674"/>
      <c r="AB117" s="3487"/>
      <c r="AC117" s="3484"/>
      <c r="AD117" s="3487"/>
      <c r="AE117" s="3484"/>
      <c r="AF117" s="3487"/>
      <c r="AG117" s="3484"/>
      <c r="AH117" s="3487"/>
      <c r="AI117" s="3484"/>
      <c r="AJ117" s="3487"/>
      <c r="AK117" s="3484"/>
      <c r="AL117" s="3487"/>
      <c r="AM117" s="3484"/>
      <c r="AN117" s="3487"/>
      <c r="AO117" s="3484"/>
      <c r="AP117" s="3487"/>
      <c r="AQ117" s="3484"/>
      <c r="AR117" s="3487"/>
      <c r="AS117" s="3484"/>
      <c r="AT117" s="3487"/>
      <c r="AU117" s="3484"/>
      <c r="AV117" s="3487"/>
      <c r="AW117" s="3484"/>
      <c r="AX117" s="3487"/>
      <c r="AY117" s="3484"/>
      <c r="AZ117" s="3624"/>
      <c r="BA117" s="3795"/>
      <c r="BB117" s="3843"/>
      <c r="BC117" s="3624"/>
      <c r="BD117" s="3624"/>
      <c r="BE117" s="3843"/>
      <c r="BF117" s="3828"/>
      <c r="BG117" s="3830"/>
      <c r="BH117" s="3828"/>
      <c r="BI117" s="3830"/>
      <c r="BJ117" s="3813"/>
    </row>
    <row r="118" spans="1:509" ht="13.5" customHeight="1" x14ac:dyDescent="0.2">
      <c r="A118" s="3551"/>
      <c r="B118" s="3552"/>
      <c r="C118" s="3553"/>
      <c r="D118" s="3775"/>
      <c r="E118" s="3775"/>
      <c r="F118" s="3776"/>
      <c r="G118" s="3831">
        <v>13</v>
      </c>
      <c r="H118" s="1132" t="s">
        <v>994</v>
      </c>
      <c r="I118" s="1133"/>
      <c r="J118" s="1133"/>
      <c r="K118" s="4899"/>
      <c r="L118" s="1133"/>
      <c r="M118" s="1133"/>
      <c r="N118" s="1134"/>
      <c r="O118" s="1133"/>
      <c r="P118" s="1133"/>
      <c r="Q118" s="1133"/>
      <c r="R118" s="1133"/>
      <c r="S118" s="1133"/>
      <c r="T118" s="1133"/>
      <c r="U118" s="1133"/>
      <c r="V118" s="1133"/>
      <c r="W118" s="1133"/>
      <c r="X118" s="1134"/>
      <c r="Y118" s="1134"/>
      <c r="Z118" s="1133"/>
      <c r="AA118" s="1133"/>
      <c r="AB118" s="1133"/>
      <c r="AC118" s="1134"/>
      <c r="AD118" s="1133"/>
      <c r="AE118" s="1134"/>
      <c r="AF118" s="1133"/>
      <c r="AG118" s="1134"/>
      <c r="AH118" s="1133"/>
      <c r="AI118" s="1134"/>
      <c r="AJ118" s="1133"/>
      <c r="AK118" s="1134"/>
      <c r="AL118" s="1133"/>
      <c r="AM118" s="1134"/>
      <c r="AN118" s="1133"/>
      <c r="AO118" s="1134"/>
      <c r="AP118" s="1133"/>
      <c r="AQ118" s="1134"/>
      <c r="AR118" s="1133"/>
      <c r="AS118" s="1134"/>
      <c r="AT118" s="1133"/>
      <c r="AU118" s="1134"/>
      <c r="AV118" s="1133"/>
      <c r="AW118" s="1134"/>
      <c r="AX118" s="1133"/>
      <c r="AY118" s="1134"/>
      <c r="AZ118" s="1133"/>
      <c r="BA118" s="1107"/>
      <c r="BB118" s="1133"/>
      <c r="BC118" s="1133"/>
      <c r="BD118" s="1108"/>
      <c r="BE118" s="1108"/>
      <c r="BF118" s="1108"/>
      <c r="BG118" s="1134"/>
      <c r="BH118" s="1133"/>
      <c r="BI118" s="1134"/>
      <c r="BJ118" s="1217"/>
    </row>
    <row r="119" spans="1:509" ht="13.5" customHeight="1" x14ac:dyDescent="0.2">
      <c r="A119" s="3551"/>
      <c r="B119" s="3552"/>
      <c r="C119" s="3553"/>
      <c r="D119" s="3775"/>
      <c r="E119" s="3775"/>
      <c r="F119" s="3776"/>
      <c r="G119" s="3832"/>
      <c r="H119" s="1218"/>
      <c r="I119" s="1137"/>
      <c r="J119" s="1137"/>
      <c r="K119" s="4904"/>
      <c r="L119" s="1137"/>
      <c r="M119" s="1137"/>
      <c r="N119" s="1138"/>
      <c r="O119" s="1137"/>
      <c r="P119" s="1137"/>
      <c r="Q119" s="1137"/>
      <c r="R119" s="1137"/>
      <c r="S119" s="1137"/>
      <c r="T119" s="1137"/>
      <c r="U119" s="1137"/>
      <c r="V119" s="1137"/>
      <c r="W119" s="1137"/>
      <c r="X119" s="1138"/>
      <c r="Y119" s="1138"/>
      <c r="Z119" s="1137"/>
      <c r="AA119" s="1137"/>
      <c r="AB119" s="1137"/>
      <c r="AC119" s="1138"/>
      <c r="AD119" s="1137"/>
      <c r="AE119" s="1138"/>
      <c r="AF119" s="1137"/>
      <c r="AG119" s="1138"/>
      <c r="AH119" s="1137"/>
      <c r="AI119" s="1138"/>
      <c r="AJ119" s="1137"/>
      <c r="AK119" s="1138"/>
      <c r="AL119" s="1137"/>
      <c r="AM119" s="1138"/>
      <c r="AN119" s="1137"/>
      <c r="AO119" s="1138"/>
      <c r="AP119" s="1137"/>
      <c r="AQ119" s="1138"/>
      <c r="AR119" s="1137"/>
      <c r="AS119" s="1138"/>
      <c r="AT119" s="1137"/>
      <c r="AU119" s="1138"/>
      <c r="AV119" s="1137"/>
      <c r="AW119" s="1138"/>
      <c r="AX119" s="1137"/>
      <c r="AY119" s="1138"/>
      <c r="AZ119" s="1137"/>
      <c r="BA119" s="1208"/>
      <c r="BB119" s="1137"/>
      <c r="BC119" s="1137"/>
      <c r="BD119" s="1209"/>
      <c r="BE119" s="1209"/>
      <c r="BF119" s="1209"/>
      <c r="BG119" s="1138"/>
      <c r="BH119" s="1137"/>
      <c r="BI119" s="1138"/>
      <c r="BJ119" s="1219"/>
    </row>
    <row r="120" spans="1:509" ht="23.25" customHeight="1" x14ac:dyDescent="0.2">
      <c r="A120" s="3551"/>
      <c r="B120" s="3552"/>
      <c r="C120" s="3553"/>
      <c r="D120" s="3775"/>
      <c r="E120" s="3775"/>
      <c r="F120" s="3776"/>
      <c r="G120" s="3833"/>
      <c r="H120" s="3833"/>
      <c r="I120" s="3834"/>
      <c r="J120" s="3640">
        <v>53</v>
      </c>
      <c r="K120" s="3659" t="s">
        <v>995</v>
      </c>
      <c r="L120" s="3742" t="s">
        <v>19</v>
      </c>
      <c r="M120" s="3744">
        <v>1</v>
      </c>
      <c r="N120" s="3839">
        <v>1</v>
      </c>
      <c r="O120" s="3560" t="s">
        <v>996</v>
      </c>
      <c r="P120" s="3657">
        <v>62</v>
      </c>
      <c r="Q120" s="3826" t="s">
        <v>997</v>
      </c>
      <c r="R120" s="3644">
        <v>1</v>
      </c>
      <c r="S120" s="3648">
        <v>502906237</v>
      </c>
      <c r="T120" s="3659" t="s">
        <v>998</v>
      </c>
      <c r="U120" s="3659" t="s">
        <v>999</v>
      </c>
      <c r="V120" s="3659" t="s">
        <v>1000</v>
      </c>
      <c r="W120" s="3583">
        <v>58640000</v>
      </c>
      <c r="X120" s="3601">
        <v>58640000</v>
      </c>
      <c r="Y120" s="3502">
        <v>58640000</v>
      </c>
      <c r="Z120" s="3657" t="s">
        <v>1001</v>
      </c>
      <c r="AA120" s="3560" t="s">
        <v>1002</v>
      </c>
      <c r="AB120" s="3761">
        <v>64149</v>
      </c>
      <c r="AC120" s="3757">
        <f>+AB120/($W$120+$W$122+$W$125+$W$128)*($Y$125)</f>
        <v>28404.829385909961</v>
      </c>
      <c r="AD120" s="3761" t="s">
        <v>811</v>
      </c>
      <c r="AE120" s="3757">
        <f>+AD120/($W$120+$W$122+$W$125+$W$128)*($Y$125)</f>
        <v>31980.395603485027</v>
      </c>
      <c r="AF120" s="3761" t="s">
        <v>812</v>
      </c>
      <c r="AG120" s="3757">
        <f>+AF120/($W$120+$W$122+$W$125+$W$128)*($Y$125)</f>
        <v>12166.66662047184</v>
      </c>
      <c r="AH120" s="3761" t="s">
        <v>813</v>
      </c>
      <c r="AI120" s="3757">
        <f>+AH120/($W$120+$W$122+$W$125+$W$128)*($Y$125)</f>
        <v>38453.609539674486</v>
      </c>
      <c r="AJ120" s="3761" t="s">
        <v>814</v>
      </c>
      <c r="AK120" s="3757">
        <f>+AJ120/($W$120+$W$122+$W$125+$W$128)*($Y$125)</f>
        <v>104689.47928855175</v>
      </c>
      <c r="AL120" s="3761" t="s">
        <v>815</v>
      </c>
      <c r="AM120" s="3757">
        <f>+AL120/($W$120+$W$122+$W$125+$W$128)*($Y$125)</f>
        <v>36036.393938220339</v>
      </c>
      <c r="AN120" s="3479">
        <v>13208</v>
      </c>
      <c r="AO120" s="3757">
        <f>+AN120/($W$120+$W$122+$W$125+$W$128)*($Y$125)</f>
        <v>5848.4307865921337</v>
      </c>
      <c r="AP120" s="3479">
        <v>1827</v>
      </c>
      <c r="AQ120" s="3757">
        <f>+AP120/($W$120+$W$122+$W$125+$W$128)*($Y$125)</f>
        <v>808.98569405692217</v>
      </c>
      <c r="AR120" s="3850"/>
      <c r="AS120" s="3851"/>
      <c r="AT120" s="3850"/>
      <c r="AU120" s="3851"/>
      <c r="AV120" s="3479">
        <v>16897</v>
      </c>
      <c r="AW120" s="3757">
        <f>+AV120/($W$120+$W$122+$W$125+$W$128)*($Y$125)</f>
        <v>7481.8999849369538</v>
      </c>
      <c r="AX120" s="3479">
        <v>81384</v>
      </c>
      <c r="AY120" s="3757">
        <f>+AX120/($W$120+$W$122+$W$125+$W$128)*($Y$125)</f>
        <v>36036.393938220339</v>
      </c>
      <c r="AZ120" s="3846" t="s">
        <v>1003</v>
      </c>
      <c r="BA120" s="3687">
        <v>5000000</v>
      </c>
      <c r="BB120" s="3687">
        <v>5000000</v>
      </c>
      <c r="BC120" s="3846" t="s">
        <v>1004</v>
      </c>
      <c r="BD120" s="3846" t="s">
        <v>165</v>
      </c>
      <c r="BE120" s="3849" t="s">
        <v>991</v>
      </c>
      <c r="BF120" s="3844">
        <v>42597</v>
      </c>
      <c r="BG120" s="3845">
        <v>42614</v>
      </c>
      <c r="BH120" s="3846" t="s">
        <v>1005</v>
      </c>
      <c r="BI120" s="3847" t="s">
        <v>1005</v>
      </c>
      <c r="BJ120" s="3812" t="s">
        <v>821</v>
      </c>
    </row>
    <row r="121" spans="1:509" ht="17.25" customHeight="1" x14ac:dyDescent="0.2">
      <c r="A121" s="3551"/>
      <c r="B121" s="3552"/>
      <c r="C121" s="3553"/>
      <c r="D121" s="3775"/>
      <c r="E121" s="3775"/>
      <c r="F121" s="3776"/>
      <c r="G121" s="3835"/>
      <c r="H121" s="3835"/>
      <c r="I121" s="3836"/>
      <c r="J121" s="3743"/>
      <c r="K121" s="3659"/>
      <c r="L121" s="3793"/>
      <c r="M121" s="3639"/>
      <c r="N121" s="3840"/>
      <c r="O121" s="3634"/>
      <c r="P121" s="3636"/>
      <c r="Q121" s="3826"/>
      <c r="R121" s="3644"/>
      <c r="S121" s="3648"/>
      <c r="T121" s="3659"/>
      <c r="U121" s="3659"/>
      <c r="V121" s="3637"/>
      <c r="W121" s="3650"/>
      <c r="X121" s="3603"/>
      <c r="Y121" s="3502"/>
      <c r="Z121" s="3636"/>
      <c r="AA121" s="3634"/>
      <c r="AB121" s="3761"/>
      <c r="AC121" s="3758"/>
      <c r="AD121" s="3761"/>
      <c r="AE121" s="3758"/>
      <c r="AF121" s="3761"/>
      <c r="AG121" s="3758"/>
      <c r="AH121" s="3761"/>
      <c r="AI121" s="3758"/>
      <c r="AJ121" s="3761"/>
      <c r="AK121" s="3758"/>
      <c r="AL121" s="3761"/>
      <c r="AM121" s="3758"/>
      <c r="AN121" s="3479"/>
      <c r="AO121" s="3758"/>
      <c r="AP121" s="3479"/>
      <c r="AQ121" s="3758"/>
      <c r="AR121" s="3850"/>
      <c r="AS121" s="3852"/>
      <c r="AT121" s="3850"/>
      <c r="AU121" s="3852"/>
      <c r="AV121" s="3479"/>
      <c r="AW121" s="3758"/>
      <c r="AX121" s="3479"/>
      <c r="AY121" s="3758"/>
      <c r="AZ121" s="3846"/>
      <c r="BA121" s="3700"/>
      <c r="BB121" s="3700"/>
      <c r="BC121" s="3846"/>
      <c r="BD121" s="3846"/>
      <c r="BE121" s="3849"/>
      <c r="BF121" s="3844"/>
      <c r="BG121" s="3845"/>
      <c r="BH121" s="3846"/>
      <c r="BI121" s="3847"/>
      <c r="BJ121" s="3723"/>
    </row>
    <row r="122" spans="1:509" ht="13.5" customHeight="1" x14ac:dyDescent="0.2">
      <c r="A122" s="3551"/>
      <c r="B122" s="3552"/>
      <c r="C122" s="3553"/>
      <c r="D122" s="3775"/>
      <c r="E122" s="3775"/>
      <c r="F122" s="3776"/>
      <c r="G122" s="3835"/>
      <c r="H122" s="3835"/>
      <c r="I122" s="3836"/>
      <c r="J122" s="3743"/>
      <c r="K122" s="3659"/>
      <c r="L122" s="3793"/>
      <c r="M122" s="3639"/>
      <c r="N122" s="3840"/>
      <c r="O122" s="3634"/>
      <c r="P122" s="3636"/>
      <c r="Q122" s="3826"/>
      <c r="R122" s="3644"/>
      <c r="S122" s="3648"/>
      <c r="T122" s="3659"/>
      <c r="U122" s="3659"/>
      <c r="V122" s="3638" t="s">
        <v>1006</v>
      </c>
      <c r="W122" s="3582">
        <v>178820000</v>
      </c>
      <c r="X122" s="3601">
        <v>178820000</v>
      </c>
      <c r="Y122" s="3601">
        <v>178820000</v>
      </c>
      <c r="Z122" s="3636"/>
      <c r="AA122" s="3634"/>
      <c r="AB122" s="3761"/>
      <c r="AC122" s="3758"/>
      <c r="AD122" s="3761"/>
      <c r="AE122" s="3758"/>
      <c r="AF122" s="3761"/>
      <c r="AG122" s="3758"/>
      <c r="AH122" s="3761"/>
      <c r="AI122" s="3758"/>
      <c r="AJ122" s="3761"/>
      <c r="AK122" s="3758"/>
      <c r="AL122" s="3761"/>
      <c r="AM122" s="3758"/>
      <c r="AN122" s="3479"/>
      <c r="AO122" s="3758"/>
      <c r="AP122" s="3479"/>
      <c r="AQ122" s="3758"/>
      <c r="AR122" s="3850"/>
      <c r="AS122" s="3852"/>
      <c r="AT122" s="3850"/>
      <c r="AU122" s="3852"/>
      <c r="AV122" s="3479"/>
      <c r="AW122" s="3758"/>
      <c r="AX122" s="3479"/>
      <c r="AY122" s="3758"/>
      <c r="AZ122" s="3807" t="s">
        <v>1007</v>
      </c>
      <c r="BA122" s="3687">
        <v>292360000</v>
      </c>
      <c r="BB122" s="3687">
        <v>292360000</v>
      </c>
      <c r="BC122" s="3854">
        <v>1</v>
      </c>
      <c r="BD122" s="3807" t="s">
        <v>954</v>
      </c>
      <c r="BE122" s="3807" t="s">
        <v>991</v>
      </c>
      <c r="BF122" s="3844">
        <v>42597</v>
      </c>
      <c r="BG122" s="3829">
        <v>42586</v>
      </c>
      <c r="BH122" s="3827">
        <v>42735</v>
      </c>
      <c r="BI122" s="3829">
        <v>42735</v>
      </c>
      <c r="BJ122" s="3723"/>
    </row>
    <row r="123" spans="1:509" ht="35.25" customHeight="1" x14ac:dyDescent="0.2">
      <c r="A123" s="3551"/>
      <c r="B123" s="3552"/>
      <c r="C123" s="3553"/>
      <c r="D123" s="3775"/>
      <c r="E123" s="3775"/>
      <c r="F123" s="3776"/>
      <c r="G123" s="3835"/>
      <c r="H123" s="3835"/>
      <c r="I123" s="3836"/>
      <c r="J123" s="3743"/>
      <c r="K123" s="3659"/>
      <c r="L123" s="3793"/>
      <c r="M123" s="3639"/>
      <c r="N123" s="3840"/>
      <c r="O123" s="3634"/>
      <c r="P123" s="3636"/>
      <c r="Q123" s="3826"/>
      <c r="R123" s="3644"/>
      <c r="S123" s="3648"/>
      <c r="T123" s="3659"/>
      <c r="U123" s="3659"/>
      <c r="V123" s="3659"/>
      <c r="W123" s="3583"/>
      <c r="X123" s="3602"/>
      <c r="Y123" s="3602"/>
      <c r="Z123" s="3636"/>
      <c r="AA123" s="3634"/>
      <c r="AB123" s="3761"/>
      <c r="AC123" s="3758"/>
      <c r="AD123" s="3761"/>
      <c r="AE123" s="3758"/>
      <c r="AF123" s="3761"/>
      <c r="AG123" s="3758"/>
      <c r="AH123" s="3761"/>
      <c r="AI123" s="3758"/>
      <c r="AJ123" s="3761"/>
      <c r="AK123" s="3758"/>
      <c r="AL123" s="3761"/>
      <c r="AM123" s="3758"/>
      <c r="AN123" s="3479"/>
      <c r="AO123" s="3758"/>
      <c r="AP123" s="3479"/>
      <c r="AQ123" s="3758"/>
      <c r="AR123" s="3850"/>
      <c r="AS123" s="3852"/>
      <c r="AT123" s="3850"/>
      <c r="AU123" s="3852"/>
      <c r="AV123" s="3479"/>
      <c r="AW123" s="3758"/>
      <c r="AX123" s="3479"/>
      <c r="AY123" s="3758"/>
      <c r="AZ123" s="3808"/>
      <c r="BA123" s="3700"/>
      <c r="BB123" s="3700"/>
      <c r="BC123" s="3854"/>
      <c r="BD123" s="3808"/>
      <c r="BE123" s="3808"/>
      <c r="BF123" s="3844"/>
      <c r="BG123" s="3830"/>
      <c r="BH123" s="3828"/>
      <c r="BI123" s="3830"/>
      <c r="BJ123" s="3723"/>
    </row>
    <row r="124" spans="1:509" ht="22.5" customHeight="1" x14ac:dyDescent="0.2">
      <c r="A124" s="3551"/>
      <c r="B124" s="3552"/>
      <c r="C124" s="3553"/>
      <c r="D124" s="3775"/>
      <c r="E124" s="3775"/>
      <c r="F124" s="3776"/>
      <c r="G124" s="3835"/>
      <c r="H124" s="3835"/>
      <c r="I124" s="3836"/>
      <c r="J124" s="3743"/>
      <c r="K124" s="3659"/>
      <c r="L124" s="3793"/>
      <c r="M124" s="3639"/>
      <c r="N124" s="3840"/>
      <c r="O124" s="3634"/>
      <c r="P124" s="3636"/>
      <c r="Q124" s="3826"/>
      <c r="R124" s="3644"/>
      <c r="S124" s="3648"/>
      <c r="T124" s="3659"/>
      <c r="U124" s="3659"/>
      <c r="V124" s="3637"/>
      <c r="W124" s="3650"/>
      <c r="X124" s="3603"/>
      <c r="Y124" s="3603"/>
      <c r="Z124" s="3636"/>
      <c r="AA124" s="3634"/>
      <c r="AB124" s="3761"/>
      <c r="AC124" s="3758"/>
      <c r="AD124" s="3761"/>
      <c r="AE124" s="3758"/>
      <c r="AF124" s="3761"/>
      <c r="AG124" s="3758"/>
      <c r="AH124" s="3761"/>
      <c r="AI124" s="3758"/>
      <c r="AJ124" s="3761"/>
      <c r="AK124" s="3758"/>
      <c r="AL124" s="3761"/>
      <c r="AM124" s="3758"/>
      <c r="AN124" s="3479"/>
      <c r="AO124" s="3758"/>
      <c r="AP124" s="3479"/>
      <c r="AQ124" s="3758"/>
      <c r="AR124" s="3850"/>
      <c r="AS124" s="3852"/>
      <c r="AT124" s="3850"/>
      <c r="AU124" s="3852"/>
      <c r="AV124" s="3479"/>
      <c r="AW124" s="3758"/>
      <c r="AX124" s="3479"/>
      <c r="AY124" s="3758"/>
      <c r="AZ124" s="3807" t="s">
        <v>1008</v>
      </c>
      <c r="BA124" s="3687">
        <v>3600000</v>
      </c>
      <c r="BB124" s="3687">
        <v>3600000</v>
      </c>
      <c r="BC124" s="3854">
        <v>1</v>
      </c>
      <c r="BD124" s="3846" t="s">
        <v>165</v>
      </c>
      <c r="BE124" s="3807" t="s">
        <v>991</v>
      </c>
      <c r="BF124" s="3844">
        <v>42597</v>
      </c>
      <c r="BG124" s="3829">
        <v>42615</v>
      </c>
      <c r="BH124" s="3827">
        <v>42675</v>
      </c>
      <c r="BI124" s="3829">
        <v>42675</v>
      </c>
      <c r="BJ124" s="3723"/>
    </row>
    <row r="125" spans="1:509" ht="16.5" customHeight="1" x14ac:dyDescent="0.2">
      <c r="A125" s="3551"/>
      <c r="B125" s="3552"/>
      <c r="C125" s="3553"/>
      <c r="D125" s="3775"/>
      <c r="E125" s="3775"/>
      <c r="F125" s="3776"/>
      <c r="G125" s="3835"/>
      <c r="H125" s="3835"/>
      <c r="I125" s="3836"/>
      <c r="J125" s="3743"/>
      <c r="K125" s="3659"/>
      <c r="L125" s="3793"/>
      <c r="M125" s="3639"/>
      <c r="N125" s="3840"/>
      <c r="O125" s="3634"/>
      <c r="P125" s="3636"/>
      <c r="Q125" s="3826"/>
      <c r="R125" s="3644"/>
      <c r="S125" s="3648"/>
      <c r="T125" s="3659"/>
      <c r="U125" s="3659"/>
      <c r="V125" s="3638" t="s">
        <v>1009</v>
      </c>
      <c r="W125" s="3582">
        <f>283113081-17666844-10000000</f>
        <v>255446237</v>
      </c>
      <c r="X125" s="3601">
        <f>255446237-32762082</f>
        <v>222684155</v>
      </c>
      <c r="Y125" s="3502">
        <v>222684155</v>
      </c>
      <c r="Z125" s="3636"/>
      <c r="AA125" s="3634"/>
      <c r="AB125" s="3761"/>
      <c r="AC125" s="3758"/>
      <c r="AD125" s="3761"/>
      <c r="AE125" s="3758"/>
      <c r="AF125" s="3761"/>
      <c r="AG125" s="3758"/>
      <c r="AH125" s="3761"/>
      <c r="AI125" s="3758"/>
      <c r="AJ125" s="3761"/>
      <c r="AK125" s="3758"/>
      <c r="AL125" s="3761"/>
      <c r="AM125" s="3758"/>
      <c r="AN125" s="3479"/>
      <c r="AO125" s="3758"/>
      <c r="AP125" s="3479"/>
      <c r="AQ125" s="3758"/>
      <c r="AR125" s="3850"/>
      <c r="AS125" s="3852"/>
      <c r="AT125" s="3850"/>
      <c r="AU125" s="3852"/>
      <c r="AV125" s="3479"/>
      <c r="AW125" s="3758"/>
      <c r="AX125" s="3479"/>
      <c r="AY125" s="3758"/>
      <c r="AZ125" s="3808"/>
      <c r="BA125" s="3700"/>
      <c r="BB125" s="3700"/>
      <c r="BC125" s="3854"/>
      <c r="BD125" s="3846"/>
      <c r="BE125" s="3808"/>
      <c r="BF125" s="3844"/>
      <c r="BG125" s="3830"/>
      <c r="BH125" s="3828"/>
      <c r="BI125" s="3830"/>
      <c r="BJ125" s="3723"/>
    </row>
    <row r="126" spans="1:509" ht="13.5" customHeight="1" x14ac:dyDescent="0.2">
      <c r="A126" s="3551"/>
      <c r="B126" s="3552"/>
      <c r="C126" s="3553"/>
      <c r="D126" s="3775"/>
      <c r="E126" s="3775"/>
      <c r="F126" s="3776"/>
      <c r="G126" s="3835"/>
      <c r="H126" s="3835"/>
      <c r="I126" s="3836"/>
      <c r="J126" s="3743"/>
      <c r="K126" s="3659"/>
      <c r="L126" s="3793"/>
      <c r="M126" s="3639"/>
      <c r="N126" s="3840"/>
      <c r="O126" s="3634"/>
      <c r="P126" s="3636"/>
      <c r="Q126" s="3826"/>
      <c r="R126" s="3644"/>
      <c r="S126" s="3648"/>
      <c r="T126" s="3659"/>
      <c r="U126" s="3659"/>
      <c r="V126" s="3659"/>
      <c r="W126" s="3583"/>
      <c r="X126" s="3602"/>
      <c r="Y126" s="3502"/>
      <c r="Z126" s="3636"/>
      <c r="AA126" s="3634"/>
      <c r="AB126" s="3761"/>
      <c r="AC126" s="3758"/>
      <c r="AD126" s="3761"/>
      <c r="AE126" s="3758"/>
      <c r="AF126" s="3761"/>
      <c r="AG126" s="3758"/>
      <c r="AH126" s="3761"/>
      <c r="AI126" s="3758"/>
      <c r="AJ126" s="3761"/>
      <c r="AK126" s="3758"/>
      <c r="AL126" s="3761"/>
      <c r="AM126" s="3758"/>
      <c r="AN126" s="3479"/>
      <c r="AO126" s="3758"/>
      <c r="AP126" s="3479"/>
      <c r="AQ126" s="3758"/>
      <c r="AR126" s="3850"/>
      <c r="AS126" s="3852"/>
      <c r="AT126" s="3850"/>
      <c r="AU126" s="3852"/>
      <c r="AV126" s="3479"/>
      <c r="AW126" s="3758"/>
      <c r="AX126" s="3479"/>
      <c r="AY126" s="3758"/>
      <c r="AZ126" s="3807" t="s">
        <v>1010</v>
      </c>
      <c r="BA126" s="3687">
        <v>3600000</v>
      </c>
      <c r="BB126" s="3687">
        <v>3600000</v>
      </c>
      <c r="BC126" s="3854">
        <v>1</v>
      </c>
      <c r="BD126" s="3846" t="s">
        <v>165</v>
      </c>
      <c r="BE126" s="3807" t="s">
        <v>991</v>
      </c>
      <c r="BF126" s="3844">
        <v>42597</v>
      </c>
      <c r="BG126" s="3829">
        <v>42620</v>
      </c>
      <c r="BH126" s="3827">
        <v>42680</v>
      </c>
      <c r="BI126" s="3829">
        <v>42680</v>
      </c>
      <c r="BJ126" s="3723"/>
    </row>
    <row r="127" spans="1:509" ht="13.5" customHeight="1" x14ac:dyDescent="0.2">
      <c r="A127" s="3551"/>
      <c r="B127" s="3552"/>
      <c r="C127" s="3553"/>
      <c r="D127" s="3775"/>
      <c r="E127" s="3775"/>
      <c r="F127" s="3776"/>
      <c r="G127" s="3835"/>
      <c r="H127" s="3835"/>
      <c r="I127" s="3836"/>
      <c r="J127" s="3743"/>
      <c r="K127" s="3659"/>
      <c r="L127" s="3793"/>
      <c r="M127" s="3639"/>
      <c r="N127" s="3840"/>
      <c r="O127" s="3634"/>
      <c r="P127" s="3636"/>
      <c r="Q127" s="3826"/>
      <c r="R127" s="3644"/>
      <c r="S127" s="3648"/>
      <c r="T127" s="3659"/>
      <c r="U127" s="3637"/>
      <c r="V127" s="3637"/>
      <c r="W127" s="3650"/>
      <c r="X127" s="3603"/>
      <c r="Y127" s="3502"/>
      <c r="Z127" s="3636"/>
      <c r="AA127" s="3634"/>
      <c r="AB127" s="3761"/>
      <c r="AC127" s="3758"/>
      <c r="AD127" s="3761"/>
      <c r="AE127" s="3758"/>
      <c r="AF127" s="3761"/>
      <c r="AG127" s="3758"/>
      <c r="AH127" s="3761"/>
      <c r="AI127" s="3758"/>
      <c r="AJ127" s="3761"/>
      <c r="AK127" s="3758"/>
      <c r="AL127" s="3761"/>
      <c r="AM127" s="3758"/>
      <c r="AN127" s="3479"/>
      <c r="AO127" s="3758"/>
      <c r="AP127" s="3479"/>
      <c r="AQ127" s="3758"/>
      <c r="AR127" s="3850"/>
      <c r="AS127" s="3852"/>
      <c r="AT127" s="3850"/>
      <c r="AU127" s="3852"/>
      <c r="AV127" s="3479"/>
      <c r="AW127" s="3758"/>
      <c r="AX127" s="3479"/>
      <c r="AY127" s="3758"/>
      <c r="AZ127" s="3808"/>
      <c r="BA127" s="3700"/>
      <c r="BB127" s="3700"/>
      <c r="BC127" s="3854"/>
      <c r="BD127" s="3846"/>
      <c r="BE127" s="3808"/>
      <c r="BF127" s="3844"/>
      <c r="BG127" s="3830"/>
      <c r="BH127" s="3828"/>
      <c r="BI127" s="3830"/>
      <c r="BJ127" s="3723"/>
    </row>
    <row r="128" spans="1:509" ht="31.5" customHeight="1" x14ac:dyDescent="0.2">
      <c r="A128" s="3551"/>
      <c r="B128" s="3552"/>
      <c r="C128" s="3553"/>
      <c r="D128" s="3775"/>
      <c r="E128" s="3775"/>
      <c r="F128" s="3776"/>
      <c r="G128" s="3835"/>
      <c r="H128" s="3835"/>
      <c r="I128" s="3836"/>
      <c r="J128" s="3743"/>
      <c r="K128" s="3659"/>
      <c r="L128" s="3793"/>
      <c r="M128" s="3639"/>
      <c r="N128" s="3840"/>
      <c r="O128" s="3634"/>
      <c r="P128" s="3636"/>
      <c r="Q128" s="3826"/>
      <c r="R128" s="3644"/>
      <c r="S128" s="3648"/>
      <c r="T128" s="3659"/>
      <c r="U128" s="3638" t="s">
        <v>1011</v>
      </c>
      <c r="V128" s="3867" t="s">
        <v>1012</v>
      </c>
      <c r="W128" s="3582">
        <v>10000000</v>
      </c>
      <c r="X128" s="3601">
        <v>5000000</v>
      </c>
      <c r="Y128" s="3502">
        <v>5000000</v>
      </c>
      <c r="Z128" s="3636"/>
      <c r="AA128" s="3634"/>
      <c r="AB128" s="3761"/>
      <c r="AC128" s="3758"/>
      <c r="AD128" s="3761"/>
      <c r="AE128" s="3758"/>
      <c r="AF128" s="3761"/>
      <c r="AG128" s="3758"/>
      <c r="AH128" s="3761"/>
      <c r="AI128" s="3758"/>
      <c r="AJ128" s="3761"/>
      <c r="AK128" s="3758"/>
      <c r="AL128" s="3761"/>
      <c r="AM128" s="3758"/>
      <c r="AN128" s="3479"/>
      <c r="AO128" s="3758"/>
      <c r="AP128" s="3479"/>
      <c r="AQ128" s="3758"/>
      <c r="AR128" s="3850"/>
      <c r="AS128" s="3852"/>
      <c r="AT128" s="3850"/>
      <c r="AU128" s="3852"/>
      <c r="AV128" s="3479"/>
      <c r="AW128" s="3758"/>
      <c r="AX128" s="3479"/>
      <c r="AY128" s="3758"/>
      <c r="AZ128" s="2322" t="s">
        <v>951</v>
      </c>
      <c r="BA128" s="1220">
        <v>7094155</v>
      </c>
      <c r="BB128" s="1220">
        <v>7094155</v>
      </c>
      <c r="BC128" s="2306">
        <v>1</v>
      </c>
      <c r="BD128" s="2315" t="s">
        <v>165</v>
      </c>
      <c r="BE128" s="2322" t="s">
        <v>991</v>
      </c>
      <c r="BF128" s="2317">
        <v>42597</v>
      </c>
      <c r="BG128" s="2320">
        <v>42639</v>
      </c>
      <c r="BH128" s="2317">
        <v>42735</v>
      </c>
      <c r="BI128" s="2320">
        <v>42735</v>
      </c>
      <c r="BJ128" s="3723"/>
    </row>
    <row r="129" spans="1:500" ht="42.75" customHeight="1" x14ac:dyDescent="0.2">
      <c r="A129" s="3551"/>
      <c r="B129" s="3552"/>
      <c r="C129" s="3553"/>
      <c r="D129" s="3775"/>
      <c r="E129" s="3775"/>
      <c r="F129" s="3776"/>
      <c r="G129" s="3835"/>
      <c r="H129" s="3835"/>
      <c r="I129" s="3836"/>
      <c r="J129" s="3743"/>
      <c r="K129" s="3659"/>
      <c r="L129" s="3793"/>
      <c r="M129" s="3639"/>
      <c r="N129" s="3840"/>
      <c r="O129" s="3634"/>
      <c r="P129" s="3636"/>
      <c r="Q129" s="3826"/>
      <c r="R129" s="3644"/>
      <c r="S129" s="3648"/>
      <c r="T129" s="3659"/>
      <c r="U129" s="3659"/>
      <c r="V129" s="3868"/>
      <c r="W129" s="3583"/>
      <c r="X129" s="3602"/>
      <c r="Y129" s="3502"/>
      <c r="Z129" s="3636"/>
      <c r="AA129" s="3634"/>
      <c r="AB129" s="3761"/>
      <c r="AC129" s="3758"/>
      <c r="AD129" s="3761"/>
      <c r="AE129" s="3758"/>
      <c r="AF129" s="3761"/>
      <c r="AG129" s="3758"/>
      <c r="AH129" s="3761"/>
      <c r="AI129" s="3758"/>
      <c r="AJ129" s="3761"/>
      <c r="AK129" s="3758"/>
      <c r="AL129" s="3761"/>
      <c r="AM129" s="3758"/>
      <c r="AN129" s="3479"/>
      <c r="AO129" s="3758"/>
      <c r="AP129" s="3479"/>
      <c r="AQ129" s="3758"/>
      <c r="AR129" s="3850"/>
      <c r="AS129" s="3852"/>
      <c r="AT129" s="3850"/>
      <c r="AU129" s="3852"/>
      <c r="AV129" s="3479"/>
      <c r="AW129" s="3758"/>
      <c r="AX129" s="3479"/>
      <c r="AY129" s="3758"/>
      <c r="AZ129" s="1221" t="s">
        <v>1013</v>
      </c>
      <c r="BA129" s="1212">
        <v>3140000</v>
      </c>
      <c r="BB129" s="1212">
        <v>3140000</v>
      </c>
      <c r="BC129" s="2364">
        <v>1</v>
      </c>
      <c r="BD129" s="2315" t="s">
        <v>165</v>
      </c>
      <c r="BE129" s="1221" t="s">
        <v>1014</v>
      </c>
      <c r="BF129" s="2318">
        <v>42684</v>
      </c>
      <c r="BG129" s="2314">
        <v>42684</v>
      </c>
      <c r="BH129" s="2318">
        <v>42733</v>
      </c>
      <c r="BI129" s="2314">
        <v>42733</v>
      </c>
      <c r="BJ129" s="3723"/>
    </row>
    <row r="130" spans="1:500" ht="42.75" customHeight="1" x14ac:dyDescent="0.2">
      <c r="A130" s="3551"/>
      <c r="B130" s="3552"/>
      <c r="C130" s="3553"/>
      <c r="D130" s="3775"/>
      <c r="E130" s="3775"/>
      <c r="F130" s="3776"/>
      <c r="G130" s="3835"/>
      <c r="H130" s="3835"/>
      <c r="I130" s="3836"/>
      <c r="J130" s="3743"/>
      <c r="K130" s="3659"/>
      <c r="L130" s="3741"/>
      <c r="M130" s="3640"/>
      <c r="N130" s="3840"/>
      <c r="O130" s="3634"/>
      <c r="P130" s="3636"/>
      <c r="Q130" s="3826"/>
      <c r="R130" s="3644"/>
      <c r="S130" s="3648"/>
      <c r="T130" s="3659"/>
      <c r="U130" s="3659"/>
      <c r="V130" s="3868"/>
      <c r="W130" s="3583"/>
      <c r="X130" s="3602"/>
      <c r="Y130" s="3502"/>
      <c r="Z130" s="3636"/>
      <c r="AA130" s="3634"/>
      <c r="AB130" s="3761"/>
      <c r="AC130" s="3758"/>
      <c r="AD130" s="3761"/>
      <c r="AE130" s="3758"/>
      <c r="AF130" s="3761"/>
      <c r="AG130" s="3758"/>
      <c r="AH130" s="3761"/>
      <c r="AI130" s="3758"/>
      <c r="AJ130" s="3761"/>
      <c r="AK130" s="3758"/>
      <c r="AL130" s="3761"/>
      <c r="AM130" s="3758"/>
      <c r="AN130" s="3479"/>
      <c r="AO130" s="3758"/>
      <c r="AP130" s="3479"/>
      <c r="AQ130" s="3758"/>
      <c r="AR130" s="3850"/>
      <c r="AS130" s="3852"/>
      <c r="AT130" s="3850"/>
      <c r="AU130" s="3852"/>
      <c r="AV130" s="3479"/>
      <c r="AW130" s="3758"/>
      <c r="AX130" s="3479"/>
      <c r="AY130" s="3758"/>
      <c r="AZ130" s="1221" t="s">
        <v>1015</v>
      </c>
      <c r="BA130" s="1212">
        <v>146180000</v>
      </c>
      <c r="BB130" s="1212">
        <v>146180000</v>
      </c>
      <c r="BC130" s="2364">
        <v>1</v>
      </c>
      <c r="BD130" s="2315" t="s">
        <v>165</v>
      </c>
      <c r="BE130" s="2316" t="s">
        <v>991</v>
      </c>
      <c r="BF130" s="2318">
        <v>42713</v>
      </c>
      <c r="BG130" s="2314">
        <v>42713</v>
      </c>
      <c r="BH130" s="2318">
        <v>42735</v>
      </c>
      <c r="BI130" s="2314">
        <v>42735</v>
      </c>
      <c r="BJ130" s="3723"/>
    </row>
    <row r="131" spans="1:500" ht="38.25" customHeight="1" x14ac:dyDescent="0.2">
      <c r="A131" s="3551"/>
      <c r="B131" s="3552"/>
      <c r="C131" s="3553"/>
      <c r="D131" s="3775"/>
      <c r="E131" s="3775"/>
      <c r="F131" s="3776"/>
      <c r="G131" s="3835"/>
      <c r="H131" s="3835"/>
      <c r="I131" s="3836"/>
      <c r="J131" s="3743"/>
      <c r="K131" s="3659"/>
      <c r="L131" s="3741"/>
      <c r="M131" s="3640"/>
      <c r="N131" s="3841"/>
      <c r="O131" s="3634"/>
      <c r="P131" s="3636"/>
      <c r="Q131" s="3826"/>
      <c r="R131" s="3644"/>
      <c r="S131" s="3648"/>
      <c r="T131" s="3659"/>
      <c r="U131" s="3659"/>
      <c r="V131" s="3868"/>
      <c r="W131" s="3583"/>
      <c r="X131" s="3603"/>
      <c r="Y131" s="3502"/>
      <c r="Z131" s="3636"/>
      <c r="AA131" s="3634"/>
      <c r="AB131" s="3761"/>
      <c r="AC131" s="3759"/>
      <c r="AD131" s="3761"/>
      <c r="AE131" s="3759"/>
      <c r="AF131" s="3761"/>
      <c r="AG131" s="3759"/>
      <c r="AH131" s="3761"/>
      <c r="AI131" s="3759"/>
      <c r="AJ131" s="3761"/>
      <c r="AK131" s="3759"/>
      <c r="AL131" s="3761"/>
      <c r="AM131" s="3759"/>
      <c r="AN131" s="3479"/>
      <c r="AO131" s="3759"/>
      <c r="AP131" s="3479"/>
      <c r="AQ131" s="3759"/>
      <c r="AR131" s="3850"/>
      <c r="AS131" s="3853"/>
      <c r="AT131" s="3850"/>
      <c r="AU131" s="3853"/>
      <c r="AV131" s="3479"/>
      <c r="AW131" s="3759"/>
      <c r="AX131" s="3479"/>
      <c r="AY131" s="3759"/>
      <c r="AZ131" s="1222" t="s">
        <v>1016</v>
      </c>
      <c r="BA131" s="2334">
        <v>4170000</v>
      </c>
      <c r="BB131" s="2334">
        <v>4170000</v>
      </c>
      <c r="BC131" s="2306">
        <v>1</v>
      </c>
      <c r="BD131" s="2315" t="s">
        <v>165</v>
      </c>
      <c r="BE131" s="2316" t="s">
        <v>991</v>
      </c>
      <c r="BF131" s="2360">
        <v>42678</v>
      </c>
      <c r="BG131" s="2357">
        <v>42678</v>
      </c>
      <c r="BH131" s="2360">
        <v>42723</v>
      </c>
      <c r="BI131" s="2357">
        <v>42723</v>
      </c>
      <c r="BJ131" s="3723"/>
    </row>
    <row r="132" spans="1:500" s="1149" customFormat="1" ht="108" customHeight="1" x14ac:dyDescent="0.2">
      <c r="A132" s="3551"/>
      <c r="B132" s="3552"/>
      <c r="C132" s="3553"/>
      <c r="D132" s="3775"/>
      <c r="E132" s="3775"/>
      <c r="F132" s="3776"/>
      <c r="G132" s="3835"/>
      <c r="H132" s="3835"/>
      <c r="I132" s="3836"/>
      <c r="J132" s="3564">
        <v>53</v>
      </c>
      <c r="K132" s="3567" t="s">
        <v>995</v>
      </c>
      <c r="L132" s="3694" t="s">
        <v>19</v>
      </c>
      <c r="M132" s="3856">
        <v>1</v>
      </c>
      <c r="N132" s="3859">
        <v>1</v>
      </c>
      <c r="O132" s="3672" t="s">
        <v>1017</v>
      </c>
      <c r="P132" s="3604">
        <v>63</v>
      </c>
      <c r="Q132" s="3864" t="s">
        <v>1018</v>
      </c>
      <c r="R132" s="3871">
        <v>1</v>
      </c>
      <c r="S132" s="3582">
        <v>83000000</v>
      </c>
      <c r="T132" s="3875" t="s">
        <v>1019</v>
      </c>
      <c r="U132" s="2349" t="s">
        <v>1020</v>
      </c>
      <c r="V132" s="1223" t="s">
        <v>1021</v>
      </c>
      <c r="W132" s="3582">
        <v>83000000</v>
      </c>
      <c r="X132" s="3601">
        <v>80000000</v>
      </c>
      <c r="Y132" s="3601">
        <v>80000000</v>
      </c>
      <c r="Z132" s="3636"/>
      <c r="AA132" s="3634"/>
      <c r="AB132" s="3785">
        <v>64149</v>
      </c>
      <c r="AC132" s="3482">
        <f>+AB132/$W$132*$Y$132</f>
        <v>61830.361445783128</v>
      </c>
      <c r="AD132" s="3785" t="s">
        <v>811</v>
      </c>
      <c r="AE132" s="3482">
        <f>+AD132/$W$132*$Y$132</f>
        <v>69613.493975903606</v>
      </c>
      <c r="AF132" s="3785" t="s">
        <v>812</v>
      </c>
      <c r="AG132" s="3482">
        <f>+AF132/$W$132*$Y$132</f>
        <v>26483.855421686745</v>
      </c>
      <c r="AH132" s="3785" t="s">
        <v>813</v>
      </c>
      <c r="AI132" s="3482">
        <f>+AH132/$W$132*$Y$132</f>
        <v>83704.096385542172</v>
      </c>
      <c r="AJ132" s="3785" t="s">
        <v>814</v>
      </c>
      <c r="AK132" s="3482">
        <f>+AJ132/$W$132*$Y$132</f>
        <v>227883.3734939759</v>
      </c>
      <c r="AL132" s="3785" t="s">
        <v>815</v>
      </c>
      <c r="AM132" s="3482">
        <f>+AL132/$W$132*$Y$132</f>
        <v>78442.409638554207</v>
      </c>
      <c r="AN132" s="3785">
        <v>13208</v>
      </c>
      <c r="AO132" s="3482">
        <f>+AN132/$W$132*$Y$132</f>
        <v>12730.602409638554</v>
      </c>
      <c r="AP132" s="3785">
        <v>1827</v>
      </c>
      <c r="AQ132" s="3482">
        <f>+AP132/$W$132*$Y$132</f>
        <v>1760.9638554216867</v>
      </c>
      <c r="AR132" s="3785"/>
      <c r="AS132" s="3482"/>
      <c r="AT132" s="3785"/>
      <c r="AU132" s="3482"/>
      <c r="AV132" s="3785">
        <v>16897</v>
      </c>
      <c r="AW132" s="3482">
        <f>+AV132/$W$132*$Y$132</f>
        <v>16286.265060240963</v>
      </c>
      <c r="AX132" s="3785">
        <v>81384</v>
      </c>
      <c r="AY132" s="3482">
        <f>+AX132/$W$132*$Y$132</f>
        <v>78442.409638554207</v>
      </c>
      <c r="AZ132" s="1224" t="s">
        <v>1022</v>
      </c>
      <c r="BA132" s="2328">
        <v>70000000</v>
      </c>
      <c r="BB132" s="2328">
        <v>70000000</v>
      </c>
      <c r="BC132" s="1225">
        <v>1</v>
      </c>
      <c r="BD132" s="2315" t="s">
        <v>165</v>
      </c>
      <c r="BE132" s="2328" t="s">
        <v>1014</v>
      </c>
      <c r="BF132" s="2317">
        <v>42418</v>
      </c>
      <c r="BG132" s="2320">
        <v>42418</v>
      </c>
      <c r="BH132" s="2317">
        <v>42447</v>
      </c>
      <c r="BI132" s="2320">
        <v>42447</v>
      </c>
      <c r="BJ132" s="3723"/>
      <c r="BK132" s="1148"/>
      <c r="BL132" s="1148"/>
      <c r="BM132" s="1148"/>
      <c r="BN132" s="1148"/>
      <c r="BO132" s="1148"/>
      <c r="BP132" s="1148"/>
      <c r="BQ132" s="1148"/>
      <c r="BR132" s="1148"/>
      <c r="BS132" s="1148"/>
      <c r="BT132" s="1148"/>
      <c r="BU132" s="1148"/>
      <c r="BV132" s="1148"/>
      <c r="BW132" s="1148"/>
      <c r="BX132" s="1148"/>
      <c r="BY132" s="1148"/>
      <c r="BZ132" s="1148"/>
      <c r="CA132" s="1148"/>
      <c r="CB132" s="1148"/>
      <c r="CC132" s="1148"/>
      <c r="CD132" s="1148"/>
      <c r="CE132" s="1148"/>
      <c r="CF132" s="1148"/>
      <c r="CG132" s="1148"/>
      <c r="CH132" s="1148"/>
      <c r="CI132" s="1148"/>
      <c r="CJ132" s="1148"/>
      <c r="CK132" s="1148"/>
      <c r="CL132" s="1148"/>
      <c r="CM132" s="1148"/>
      <c r="CN132" s="1148"/>
      <c r="CO132" s="1148"/>
      <c r="CP132" s="1148"/>
      <c r="CQ132" s="1148"/>
      <c r="CR132" s="1148"/>
      <c r="CS132" s="1148"/>
      <c r="CT132" s="1148"/>
      <c r="CU132" s="1148"/>
      <c r="CV132" s="1148"/>
      <c r="CW132" s="1148"/>
      <c r="CX132" s="1148"/>
      <c r="CY132" s="1148"/>
      <c r="CZ132" s="1148"/>
      <c r="DA132" s="1148"/>
      <c r="DB132" s="1148"/>
      <c r="DC132" s="1148"/>
      <c r="DD132" s="1148"/>
      <c r="DE132" s="1148"/>
      <c r="DF132" s="1148"/>
      <c r="DG132" s="1148"/>
      <c r="DH132" s="1148"/>
      <c r="DI132" s="1148"/>
      <c r="DJ132" s="1148"/>
      <c r="DK132" s="1148"/>
      <c r="DL132" s="1148"/>
      <c r="DM132" s="1148"/>
      <c r="DN132" s="1148"/>
      <c r="DO132" s="1148"/>
      <c r="DP132" s="1148"/>
      <c r="DQ132" s="1148"/>
      <c r="DR132" s="1148"/>
      <c r="DS132" s="1148"/>
      <c r="DT132" s="1148"/>
      <c r="DU132" s="1148"/>
      <c r="DV132" s="1148"/>
      <c r="DW132" s="1148"/>
      <c r="DX132" s="1148"/>
      <c r="DY132" s="1148"/>
      <c r="DZ132" s="1148"/>
      <c r="EA132" s="1148"/>
      <c r="EB132" s="1148"/>
      <c r="EC132" s="1148"/>
      <c r="ED132" s="1148"/>
      <c r="EE132" s="1148"/>
      <c r="EF132" s="1148"/>
      <c r="EG132" s="1148"/>
      <c r="EH132" s="1148"/>
      <c r="EI132" s="1148"/>
      <c r="EJ132" s="1148"/>
      <c r="EK132" s="1148"/>
      <c r="EL132" s="1148"/>
      <c r="EM132" s="1148"/>
      <c r="EN132" s="1148"/>
      <c r="EO132" s="1148"/>
      <c r="EP132" s="1148"/>
      <c r="EQ132" s="1148"/>
      <c r="ER132" s="1148"/>
      <c r="ES132" s="1148"/>
      <c r="ET132" s="1148"/>
      <c r="EU132" s="1148"/>
      <c r="EV132" s="1148"/>
      <c r="EW132" s="1148"/>
      <c r="EX132" s="1148"/>
      <c r="EY132" s="1148"/>
      <c r="EZ132" s="1148"/>
      <c r="FA132" s="1148"/>
      <c r="FB132" s="1148"/>
      <c r="FC132" s="1148"/>
      <c r="FD132" s="1148"/>
      <c r="FE132" s="1148"/>
      <c r="FF132" s="1148"/>
      <c r="FG132" s="1148"/>
      <c r="FH132" s="1148"/>
      <c r="FI132" s="1148"/>
      <c r="FJ132" s="1148"/>
      <c r="FK132" s="1148"/>
      <c r="FL132" s="1148"/>
      <c r="FM132" s="1148"/>
      <c r="FN132" s="1148"/>
      <c r="FO132" s="1148"/>
      <c r="FP132" s="1148"/>
      <c r="FQ132" s="1148"/>
      <c r="FR132" s="1148"/>
      <c r="FS132" s="1148"/>
      <c r="FT132" s="1148"/>
      <c r="FU132" s="1148"/>
      <c r="FV132" s="1148"/>
      <c r="FW132" s="1148"/>
      <c r="FX132" s="1148"/>
      <c r="FY132" s="1148"/>
      <c r="FZ132" s="1148"/>
      <c r="GA132" s="1148"/>
      <c r="GB132" s="1148"/>
      <c r="GC132" s="1148"/>
      <c r="GD132" s="1148"/>
      <c r="GE132" s="1148"/>
      <c r="GF132" s="1148"/>
      <c r="GG132" s="1148"/>
      <c r="GH132" s="1148"/>
      <c r="GI132" s="1148"/>
      <c r="GJ132" s="1148"/>
      <c r="GK132" s="1148"/>
      <c r="GL132" s="1148"/>
      <c r="GM132" s="1148"/>
      <c r="GN132" s="1148"/>
      <c r="GO132" s="1148"/>
      <c r="GP132" s="1148"/>
      <c r="GQ132" s="1148"/>
      <c r="GR132" s="1148"/>
      <c r="GS132" s="1148"/>
      <c r="GT132" s="1148"/>
      <c r="GU132" s="1148"/>
      <c r="GV132" s="1148"/>
      <c r="GW132" s="1148"/>
      <c r="GX132" s="1148"/>
      <c r="GY132" s="1148"/>
      <c r="GZ132" s="1148"/>
      <c r="HA132" s="1148"/>
      <c r="HB132" s="1148"/>
      <c r="HC132" s="1148"/>
      <c r="HD132" s="1148"/>
      <c r="HE132" s="1148"/>
      <c r="HF132" s="1148"/>
      <c r="HG132" s="1148"/>
      <c r="HH132" s="1148"/>
      <c r="HI132" s="1148"/>
      <c r="HJ132" s="1148"/>
      <c r="HK132" s="1148"/>
      <c r="HL132" s="1148"/>
      <c r="HM132" s="1148"/>
      <c r="HN132" s="1148"/>
      <c r="HO132" s="1148"/>
      <c r="HP132" s="1148"/>
      <c r="HQ132" s="1148"/>
      <c r="HR132" s="1148"/>
      <c r="HS132" s="1148"/>
      <c r="HT132" s="1148"/>
      <c r="HU132" s="1148"/>
      <c r="HV132" s="1148"/>
      <c r="HW132" s="1148"/>
      <c r="HX132" s="1148"/>
      <c r="HY132" s="1148"/>
      <c r="HZ132" s="1148"/>
      <c r="IA132" s="1148"/>
      <c r="IB132" s="1148"/>
      <c r="IC132" s="1148"/>
      <c r="ID132" s="1148"/>
      <c r="IE132" s="1148"/>
      <c r="IF132" s="1148"/>
      <c r="IG132" s="1148"/>
      <c r="IH132" s="1148"/>
      <c r="II132" s="1148"/>
      <c r="IJ132" s="1148"/>
      <c r="IK132" s="1148"/>
      <c r="IL132" s="1148"/>
      <c r="IM132" s="1148"/>
      <c r="IN132" s="1148"/>
      <c r="IO132" s="1148"/>
      <c r="IP132" s="1148"/>
      <c r="IQ132" s="1148"/>
      <c r="IR132" s="1148"/>
      <c r="IS132" s="1148"/>
      <c r="IT132" s="1148"/>
      <c r="IU132" s="1148"/>
      <c r="IV132" s="1148"/>
      <c r="IW132" s="1148"/>
      <c r="IX132" s="1148"/>
      <c r="IY132" s="1148"/>
      <c r="IZ132" s="1148"/>
      <c r="JA132" s="1148"/>
      <c r="JB132" s="1148"/>
      <c r="JC132" s="1148"/>
      <c r="JD132" s="1148"/>
      <c r="JE132" s="1148"/>
      <c r="JF132" s="1148"/>
      <c r="JG132" s="1148"/>
      <c r="JH132" s="1148"/>
      <c r="JI132" s="1148"/>
      <c r="JJ132" s="1148"/>
      <c r="JK132" s="1148"/>
      <c r="JL132" s="1148"/>
      <c r="JM132" s="1148"/>
      <c r="JN132" s="1148"/>
      <c r="JO132" s="1148"/>
      <c r="JP132" s="1148"/>
      <c r="JQ132" s="1148"/>
      <c r="JR132" s="1148"/>
      <c r="JS132" s="1148"/>
      <c r="JT132" s="1148"/>
      <c r="JU132" s="1148"/>
      <c r="JV132" s="1148"/>
      <c r="JW132" s="1148"/>
      <c r="JX132" s="1148"/>
      <c r="JY132" s="1148"/>
      <c r="JZ132" s="1148"/>
      <c r="KA132" s="1148"/>
      <c r="KB132" s="1148"/>
      <c r="KC132" s="1148"/>
      <c r="KD132" s="1148"/>
      <c r="KE132" s="1148"/>
      <c r="KF132" s="1148"/>
      <c r="KG132" s="1148"/>
      <c r="KH132" s="1148"/>
      <c r="KI132" s="1148"/>
      <c r="KJ132" s="1148"/>
      <c r="KK132" s="1148"/>
      <c r="KL132" s="1148"/>
      <c r="KM132" s="1148"/>
      <c r="KN132" s="1148"/>
      <c r="KO132" s="1148"/>
      <c r="KP132" s="1148"/>
      <c r="KQ132" s="1148"/>
      <c r="KR132" s="1148"/>
      <c r="KS132" s="1148"/>
      <c r="KT132" s="1148"/>
      <c r="KU132" s="1148"/>
      <c r="KV132" s="1148"/>
      <c r="KW132" s="1148"/>
      <c r="KX132" s="1148"/>
      <c r="KY132" s="1148"/>
      <c r="KZ132" s="1148"/>
      <c r="LA132" s="1148"/>
      <c r="LB132" s="1148"/>
      <c r="LC132" s="1148"/>
      <c r="LD132" s="1148"/>
      <c r="LE132" s="1148"/>
      <c r="LF132" s="1148"/>
      <c r="LG132" s="1148"/>
      <c r="LH132" s="1148"/>
      <c r="LI132" s="1148"/>
      <c r="LJ132" s="1148"/>
      <c r="LK132" s="1148"/>
      <c r="LL132" s="1148"/>
      <c r="LM132" s="1148"/>
      <c r="LN132" s="1148"/>
      <c r="LO132" s="1148"/>
      <c r="LP132" s="1148"/>
      <c r="LQ132" s="1148"/>
      <c r="LR132" s="1148"/>
      <c r="LS132" s="1148"/>
      <c r="LT132" s="1148"/>
      <c r="LU132" s="1148"/>
      <c r="LV132" s="1148"/>
      <c r="LW132" s="1148"/>
      <c r="LX132" s="1148"/>
      <c r="LY132" s="1148"/>
      <c r="LZ132" s="1148"/>
      <c r="MA132" s="1148"/>
      <c r="MB132" s="1148"/>
      <c r="MC132" s="1148"/>
      <c r="MD132" s="1148"/>
      <c r="ME132" s="1148"/>
      <c r="MF132" s="1148"/>
      <c r="MG132" s="1148"/>
      <c r="MH132" s="1148"/>
      <c r="MI132" s="1148"/>
      <c r="MJ132" s="1148"/>
      <c r="MK132" s="1148"/>
      <c r="ML132" s="1148"/>
      <c r="MM132" s="1148"/>
      <c r="MN132" s="1148"/>
      <c r="MO132" s="1148"/>
      <c r="MP132" s="1148"/>
      <c r="MQ132" s="1148"/>
      <c r="MR132" s="1148"/>
      <c r="MS132" s="1148"/>
      <c r="MT132" s="1148"/>
      <c r="MU132" s="1148"/>
      <c r="MV132" s="1148"/>
      <c r="MW132" s="1148"/>
      <c r="MX132" s="1148"/>
      <c r="MY132" s="1148"/>
      <c r="MZ132" s="1148"/>
      <c r="NA132" s="1148"/>
      <c r="NB132" s="1148"/>
      <c r="NC132" s="1148"/>
      <c r="ND132" s="1148"/>
      <c r="NE132" s="1148"/>
      <c r="NF132" s="1148"/>
      <c r="NG132" s="1148"/>
      <c r="NH132" s="1148"/>
      <c r="NI132" s="1148"/>
      <c r="NJ132" s="1148"/>
      <c r="NK132" s="1148"/>
      <c r="NL132" s="1148"/>
      <c r="NM132" s="1148"/>
      <c r="NN132" s="1148"/>
      <c r="NO132" s="1148"/>
      <c r="NP132" s="1148"/>
      <c r="NQ132" s="1148"/>
      <c r="NR132" s="1148"/>
      <c r="NS132" s="1148"/>
      <c r="NT132" s="1148"/>
      <c r="NU132" s="1148"/>
      <c r="NV132" s="1148"/>
      <c r="NW132" s="1148"/>
      <c r="NX132" s="1148"/>
      <c r="NY132" s="1148"/>
      <c r="NZ132" s="1148"/>
      <c r="OA132" s="1148"/>
      <c r="OB132" s="1148"/>
      <c r="OC132" s="1148"/>
      <c r="OD132" s="1148"/>
      <c r="OE132" s="1148"/>
      <c r="OF132" s="1148"/>
      <c r="OG132" s="1148"/>
      <c r="OH132" s="1148"/>
      <c r="OI132" s="1148"/>
      <c r="OJ132" s="1148"/>
      <c r="OK132" s="1148"/>
      <c r="OL132" s="1148"/>
      <c r="OM132" s="1148"/>
      <c r="ON132" s="1148"/>
      <c r="OO132" s="1148"/>
      <c r="OP132" s="1148"/>
      <c r="OQ132" s="1148"/>
      <c r="OR132" s="1148"/>
      <c r="OS132" s="1148"/>
      <c r="OT132" s="1148"/>
      <c r="OU132" s="1148"/>
      <c r="OV132" s="1148"/>
      <c r="OW132" s="1148"/>
      <c r="OX132" s="1148"/>
      <c r="OY132" s="1148"/>
      <c r="OZ132" s="1148"/>
      <c r="PA132" s="1148"/>
      <c r="PB132" s="1148"/>
      <c r="PC132" s="1148"/>
      <c r="PD132" s="1148"/>
      <c r="PE132" s="1148"/>
      <c r="PF132" s="1148"/>
      <c r="PG132" s="1148"/>
      <c r="PH132" s="1148"/>
      <c r="PI132" s="1148"/>
      <c r="PJ132" s="1148"/>
      <c r="PK132" s="1148"/>
      <c r="PL132" s="1148"/>
      <c r="PM132" s="1148"/>
      <c r="PN132" s="1148"/>
      <c r="PO132" s="1148"/>
      <c r="PP132" s="1148"/>
      <c r="PQ132" s="1148"/>
      <c r="PR132" s="1148"/>
      <c r="PS132" s="1148"/>
      <c r="PT132" s="1148"/>
      <c r="PU132" s="1148"/>
      <c r="PV132" s="1148"/>
      <c r="PW132" s="1148"/>
      <c r="PX132" s="1148"/>
      <c r="PY132" s="1148"/>
      <c r="PZ132" s="1148"/>
      <c r="QA132" s="1148"/>
      <c r="QB132" s="1148"/>
      <c r="QC132" s="1148"/>
      <c r="QD132" s="1148"/>
      <c r="QE132" s="1148"/>
      <c r="QF132" s="1148"/>
      <c r="QG132" s="1148"/>
      <c r="QH132" s="1148"/>
      <c r="QI132" s="1148"/>
      <c r="QJ132" s="1148"/>
      <c r="QK132" s="1148"/>
      <c r="QL132" s="1148"/>
      <c r="QM132" s="1148"/>
      <c r="QN132" s="1148"/>
      <c r="QO132" s="1148"/>
      <c r="QP132" s="1148"/>
      <c r="QQ132" s="1148"/>
      <c r="QR132" s="1148"/>
      <c r="QS132" s="1148"/>
      <c r="QT132" s="1148"/>
      <c r="QU132" s="1148"/>
      <c r="QV132" s="1148"/>
      <c r="QW132" s="1148"/>
      <c r="QX132" s="1148"/>
      <c r="QY132" s="1148"/>
      <c r="QZ132" s="1148"/>
      <c r="RA132" s="1148"/>
      <c r="RB132" s="1148"/>
      <c r="RC132" s="1148"/>
      <c r="RD132" s="1148"/>
      <c r="RE132" s="1148"/>
      <c r="RF132" s="1148"/>
      <c r="RG132" s="1148"/>
      <c r="RH132" s="1148"/>
      <c r="RI132" s="1148"/>
      <c r="RJ132" s="1148"/>
      <c r="RK132" s="1148"/>
      <c r="RL132" s="1148"/>
      <c r="RM132" s="1148"/>
      <c r="RN132" s="1148"/>
      <c r="RO132" s="1148"/>
      <c r="RP132" s="1148"/>
      <c r="RQ132" s="1148"/>
      <c r="RR132" s="1148"/>
      <c r="RS132" s="1148"/>
      <c r="RT132" s="1148"/>
      <c r="RU132" s="1148"/>
      <c r="RV132" s="1148"/>
      <c r="RW132" s="1148"/>
      <c r="RX132" s="1148"/>
      <c r="RY132" s="1148"/>
      <c r="RZ132" s="1148"/>
      <c r="SA132" s="1148"/>
      <c r="SB132" s="1148"/>
      <c r="SC132" s="1148"/>
      <c r="SD132" s="1148"/>
      <c r="SE132" s="1148"/>
      <c r="SF132" s="1164"/>
    </row>
    <row r="133" spans="1:500" s="1148" customFormat="1" ht="56.25" customHeight="1" x14ac:dyDescent="0.2">
      <c r="A133" s="3551"/>
      <c r="B133" s="3552"/>
      <c r="C133" s="3553"/>
      <c r="D133" s="3775"/>
      <c r="E133" s="3775"/>
      <c r="F133" s="3776"/>
      <c r="G133" s="3835"/>
      <c r="H133" s="3835"/>
      <c r="I133" s="3836"/>
      <c r="J133" s="3565"/>
      <c r="K133" s="3568"/>
      <c r="L133" s="3695"/>
      <c r="M133" s="3857"/>
      <c r="N133" s="3860"/>
      <c r="O133" s="3673"/>
      <c r="P133" s="3605"/>
      <c r="Q133" s="3865"/>
      <c r="R133" s="3872"/>
      <c r="S133" s="3583"/>
      <c r="T133" s="3876"/>
      <c r="U133" s="2349" t="s">
        <v>1023</v>
      </c>
      <c r="V133" s="1223" t="s">
        <v>1024</v>
      </c>
      <c r="W133" s="3583"/>
      <c r="X133" s="3602"/>
      <c r="Y133" s="3602"/>
      <c r="Z133" s="3636"/>
      <c r="AA133" s="3634"/>
      <c r="AB133" s="3785"/>
      <c r="AC133" s="3483"/>
      <c r="AD133" s="3785"/>
      <c r="AE133" s="3483"/>
      <c r="AF133" s="3785"/>
      <c r="AG133" s="3483"/>
      <c r="AH133" s="3785"/>
      <c r="AI133" s="3483"/>
      <c r="AJ133" s="3785"/>
      <c r="AK133" s="3483"/>
      <c r="AL133" s="3785"/>
      <c r="AM133" s="3483"/>
      <c r="AN133" s="3785"/>
      <c r="AO133" s="3483"/>
      <c r="AP133" s="3785"/>
      <c r="AQ133" s="3483"/>
      <c r="AR133" s="3785"/>
      <c r="AS133" s="3483"/>
      <c r="AT133" s="3785"/>
      <c r="AU133" s="3483"/>
      <c r="AV133" s="3785"/>
      <c r="AW133" s="3483"/>
      <c r="AX133" s="3785"/>
      <c r="AY133" s="3483"/>
      <c r="AZ133" s="1224" t="s">
        <v>1025</v>
      </c>
      <c r="BA133" s="2328">
        <v>10000000</v>
      </c>
      <c r="BB133" s="2328">
        <v>10000000</v>
      </c>
      <c r="BC133" s="3854">
        <v>1</v>
      </c>
      <c r="BD133" s="2328" t="s">
        <v>1026</v>
      </c>
      <c r="BE133" s="2328" t="s">
        <v>931</v>
      </c>
      <c r="BF133" s="2317">
        <v>42447</v>
      </c>
      <c r="BG133" s="2320">
        <v>42447</v>
      </c>
      <c r="BH133" s="2317">
        <v>42476</v>
      </c>
      <c r="BI133" s="2320">
        <v>42476</v>
      </c>
      <c r="BJ133" s="3723"/>
    </row>
    <row r="134" spans="1:500" s="1148" customFormat="1" ht="60" customHeight="1" thickBot="1" x14ac:dyDescent="0.25">
      <c r="A134" s="3554"/>
      <c r="B134" s="3555"/>
      <c r="C134" s="3556"/>
      <c r="D134" s="3777"/>
      <c r="E134" s="3777"/>
      <c r="F134" s="3778"/>
      <c r="G134" s="3837"/>
      <c r="H134" s="3837"/>
      <c r="I134" s="3838"/>
      <c r="J134" s="3566"/>
      <c r="K134" s="3569"/>
      <c r="L134" s="3855"/>
      <c r="M134" s="3858"/>
      <c r="N134" s="3861"/>
      <c r="O134" s="3862"/>
      <c r="P134" s="3863"/>
      <c r="Q134" s="3866"/>
      <c r="R134" s="3873"/>
      <c r="S134" s="3874"/>
      <c r="T134" s="3877"/>
      <c r="U134" s="1226" t="s">
        <v>1027</v>
      </c>
      <c r="V134" s="1227" t="s">
        <v>1028</v>
      </c>
      <c r="W134" s="3874"/>
      <c r="X134" s="3878"/>
      <c r="Y134" s="3878"/>
      <c r="Z134" s="3879"/>
      <c r="AA134" s="3880"/>
      <c r="AB134" s="3870"/>
      <c r="AC134" s="3869"/>
      <c r="AD134" s="3870"/>
      <c r="AE134" s="3869"/>
      <c r="AF134" s="3870"/>
      <c r="AG134" s="3869"/>
      <c r="AH134" s="3870"/>
      <c r="AI134" s="3869"/>
      <c r="AJ134" s="3870"/>
      <c r="AK134" s="3869"/>
      <c r="AL134" s="3870"/>
      <c r="AM134" s="3869"/>
      <c r="AN134" s="3870"/>
      <c r="AO134" s="3869"/>
      <c r="AP134" s="3870"/>
      <c r="AQ134" s="3869"/>
      <c r="AR134" s="3870"/>
      <c r="AS134" s="3869"/>
      <c r="AT134" s="3870"/>
      <c r="AU134" s="3869"/>
      <c r="AV134" s="3870"/>
      <c r="AW134" s="3869"/>
      <c r="AX134" s="3870"/>
      <c r="AY134" s="3869"/>
      <c r="AZ134" s="1228" t="s">
        <v>1029</v>
      </c>
      <c r="BA134" s="1229"/>
      <c r="BB134" s="1229"/>
      <c r="BC134" s="3854"/>
      <c r="BD134" s="1229" t="s">
        <v>1026</v>
      </c>
      <c r="BE134" s="1230" t="s">
        <v>991</v>
      </c>
      <c r="BF134" s="1231">
        <v>42516</v>
      </c>
      <c r="BG134" s="1232">
        <v>42516</v>
      </c>
      <c r="BH134" s="1231">
        <v>42523</v>
      </c>
      <c r="BI134" s="1232">
        <v>42523</v>
      </c>
      <c r="BJ134" s="3848"/>
    </row>
    <row r="135" spans="1:500" s="1078" customFormat="1" ht="31.5" customHeight="1" thickBot="1" x14ac:dyDescent="0.25">
      <c r="A135" s="3881" t="s">
        <v>119</v>
      </c>
      <c r="B135" s="3882"/>
      <c r="C135" s="3882"/>
      <c r="D135" s="3882"/>
      <c r="E135" s="3882"/>
      <c r="F135" s="3882"/>
      <c r="G135" s="3882"/>
      <c r="H135" s="3882"/>
      <c r="I135" s="3882"/>
      <c r="J135" s="3882"/>
      <c r="K135" s="3882"/>
      <c r="L135" s="3882"/>
      <c r="M135" s="3882"/>
      <c r="N135" s="3882"/>
      <c r="O135" s="3882"/>
      <c r="P135" s="3882"/>
      <c r="Q135" s="3882"/>
      <c r="R135" s="3883"/>
      <c r="S135" s="1233">
        <f>SUM(S10:S132)</f>
        <v>1142906237</v>
      </c>
      <c r="T135" s="1234"/>
      <c r="U135" s="1235"/>
      <c r="V135" s="1236"/>
      <c r="W135" s="1233">
        <f>SUM(W10:W132)</f>
        <v>1142906237</v>
      </c>
      <c r="X135" s="1237">
        <f>SUM(X14:X134)</f>
        <v>1011490155</v>
      </c>
      <c r="Y135" s="1237">
        <f>SUM(Y14:Y134)</f>
        <v>1003990155</v>
      </c>
      <c r="Z135" s="1238"/>
      <c r="AA135" s="1239"/>
      <c r="AB135" s="1239"/>
      <c r="AC135" s="1240"/>
      <c r="AD135" s="1239"/>
      <c r="AE135" s="1240"/>
      <c r="AF135" s="1239"/>
      <c r="AG135" s="1240"/>
      <c r="AH135" s="1239"/>
      <c r="AI135" s="1240"/>
      <c r="AJ135" s="1239"/>
      <c r="AK135" s="1240"/>
      <c r="AL135" s="1239"/>
      <c r="AM135" s="1240"/>
      <c r="AN135" s="1239"/>
      <c r="AO135" s="1240"/>
      <c r="AP135" s="1239"/>
      <c r="AQ135" s="1240"/>
      <c r="AR135" s="1239"/>
      <c r="AS135" s="1240"/>
      <c r="AT135" s="1239"/>
      <c r="AU135" s="1240"/>
      <c r="AV135" s="1239"/>
      <c r="AW135" s="1240"/>
      <c r="AX135" s="1241"/>
      <c r="AY135" s="1242"/>
      <c r="AZ135" s="1241"/>
      <c r="BA135" s="1243">
        <f>SUM(BA14:BA134)</f>
        <v>1011490155</v>
      </c>
      <c r="BB135" s="1243">
        <f>SUM(BB14:BB134)</f>
        <v>1003990155</v>
      </c>
      <c r="BC135" s="1241"/>
      <c r="BD135" s="1244"/>
      <c r="BE135" s="1244"/>
      <c r="BF135" s="1245"/>
      <c r="BG135" s="1246"/>
      <c r="BH135" s="1247"/>
      <c r="BI135" s="1248"/>
      <c r="BJ135" s="1249"/>
      <c r="BK135" s="1077"/>
    </row>
    <row r="136" spans="1:500" x14ac:dyDescent="0.2">
      <c r="S136" s="1945"/>
      <c r="T136" s="1250"/>
    </row>
    <row r="137" spans="1:500" x14ac:dyDescent="0.2">
      <c r="S137" s="1945"/>
    </row>
    <row r="138" spans="1:500" x14ac:dyDescent="0.2">
      <c r="S138" s="1945"/>
      <c r="W138" s="1954"/>
      <c r="X138" s="1954"/>
      <c r="Y138" s="1954"/>
      <c r="BA138" s="1954"/>
      <c r="BB138" s="1954"/>
    </row>
    <row r="139" spans="1:500" x14ac:dyDescent="0.2">
      <c r="S139" s="1945"/>
    </row>
    <row r="140" spans="1:500" ht="15" x14ac:dyDescent="0.25">
      <c r="E140" s="1955" t="s">
        <v>1030</v>
      </c>
      <c r="F140" s="1955"/>
      <c r="G140" s="1955"/>
      <c r="H140" s="1955"/>
      <c r="I140" s="1955"/>
      <c r="S140" s="1945"/>
    </row>
    <row r="141" spans="1:500" ht="15" x14ac:dyDescent="0.25">
      <c r="E141" s="1955" t="s">
        <v>1031</v>
      </c>
      <c r="F141" s="1955"/>
      <c r="G141" s="1955"/>
      <c r="H141" s="1955"/>
      <c r="I141" s="1955"/>
      <c r="S141" s="1945"/>
    </row>
    <row r="142" spans="1:500" x14ac:dyDescent="0.2">
      <c r="S142" s="1945"/>
    </row>
  </sheetData>
  <sheetProtection algorithmName="SHA-512" hashValue="2S01PAHU1e86CQpM61ND2rlCL4pgoEaDedLzHGNhatIQXLfNyBOBcKSsZT8U6qmJJysGv8DLPHGL4hW5dWeSQg==" saltValue="9Zb8oAWtxewjW+wRA6bCGQ==" spinCount="100000" sheet="1" objects="1" scenarios="1"/>
  <mergeCells count="876">
    <mergeCell ref="A5:M6"/>
    <mergeCell ref="Q5:BJ5"/>
    <mergeCell ref="Q6:AA6"/>
    <mergeCell ref="AB6:AY6"/>
    <mergeCell ref="BF6:BJ6"/>
    <mergeCell ref="BC133:BC134"/>
    <mergeCell ref="A135:R135"/>
    <mergeCell ref="AT132:AT134"/>
    <mergeCell ref="AU132:AU134"/>
    <mergeCell ref="AV132:AV134"/>
    <mergeCell ref="AW132:AW134"/>
    <mergeCell ref="AX132:AX134"/>
    <mergeCell ref="AY132:AY134"/>
    <mergeCell ref="AN132:AN134"/>
    <mergeCell ref="AO132:AO134"/>
    <mergeCell ref="AP132:AP134"/>
    <mergeCell ref="AQ132:AQ134"/>
    <mergeCell ref="AR132:AR134"/>
    <mergeCell ref="AS132:AS134"/>
    <mergeCell ref="AH132:AH134"/>
    <mergeCell ref="AI132:AI134"/>
    <mergeCell ref="AJ132:AJ134"/>
    <mergeCell ref="AK132:AK134"/>
    <mergeCell ref="AL132:AL134"/>
    <mergeCell ref="AM132:AM134"/>
    <mergeCell ref="AB132:AB134"/>
    <mergeCell ref="AC132:AC134"/>
    <mergeCell ref="AD132:AD134"/>
    <mergeCell ref="AE132:AE134"/>
    <mergeCell ref="AF132:AF134"/>
    <mergeCell ref="AG132:AG134"/>
    <mergeCell ref="R132:R134"/>
    <mergeCell ref="S132:S134"/>
    <mergeCell ref="T132:T134"/>
    <mergeCell ref="W132:W134"/>
    <mergeCell ref="X132:X134"/>
    <mergeCell ref="Y132:Y134"/>
    <mergeCell ref="Z120:Z134"/>
    <mergeCell ref="AA120:AA134"/>
    <mergeCell ref="V125:V127"/>
    <mergeCell ref="W125:W127"/>
    <mergeCell ref="X125:X127"/>
    <mergeCell ref="Y125:Y127"/>
    <mergeCell ref="AB120:AB131"/>
    <mergeCell ref="AC120:AC131"/>
    <mergeCell ref="AD120:AD131"/>
    <mergeCell ref="AE120:AE131"/>
    <mergeCell ref="L132:L134"/>
    <mergeCell ref="M132:M134"/>
    <mergeCell ref="N132:N134"/>
    <mergeCell ref="O132:O134"/>
    <mergeCell ref="P132:P134"/>
    <mergeCell ref="Q132:Q134"/>
    <mergeCell ref="BI126:BI127"/>
    <mergeCell ref="U128:U131"/>
    <mergeCell ref="V128:V131"/>
    <mergeCell ref="W128:W131"/>
    <mergeCell ref="X128:X131"/>
    <mergeCell ref="Y128:Y131"/>
    <mergeCell ref="BC126:BC127"/>
    <mergeCell ref="BD126:BD127"/>
    <mergeCell ref="BE126:BE127"/>
    <mergeCell ref="BF126:BF127"/>
    <mergeCell ref="BG126:BG127"/>
    <mergeCell ref="BH126:BH127"/>
    <mergeCell ref="AF120:AF131"/>
    <mergeCell ref="AG120:AG131"/>
    <mergeCell ref="V120:V121"/>
    <mergeCell ref="W120:W121"/>
    <mergeCell ref="X120:X121"/>
    <mergeCell ref="Y120:Y121"/>
    <mergeCell ref="AZ126:AZ127"/>
    <mergeCell ref="BA126:BA127"/>
    <mergeCell ref="BB126:BB127"/>
    <mergeCell ref="AP120:AP131"/>
    <mergeCell ref="AQ120:AQ131"/>
    <mergeCell ref="AR120:AR131"/>
    <mergeCell ref="AS120:AS131"/>
    <mergeCell ref="AH120:AH131"/>
    <mergeCell ref="AI120:AI131"/>
    <mergeCell ref="AJ120:AJ131"/>
    <mergeCell ref="AK120:AK131"/>
    <mergeCell ref="AL120:AL131"/>
    <mergeCell ref="AM120:AM131"/>
    <mergeCell ref="BG122:BG123"/>
    <mergeCell ref="BH122:BH123"/>
    <mergeCell ref="BI122:BI123"/>
    <mergeCell ref="AZ124:AZ125"/>
    <mergeCell ref="BA124:BA125"/>
    <mergeCell ref="BB124:BB125"/>
    <mergeCell ref="BC124:BC125"/>
    <mergeCell ref="BD124:BD125"/>
    <mergeCell ref="BE124:BE125"/>
    <mergeCell ref="BF124:BF125"/>
    <mergeCell ref="BA122:BA123"/>
    <mergeCell ref="BB122:BB123"/>
    <mergeCell ref="BC122:BC123"/>
    <mergeCell ref="BD122:BD123"/>
    <mergeCell ref="BE122:BE123"/>
    <mergeCell ref="BF122:BF123"/>
    <mergeCell ref="BG124:BG125"/>
    <mergeCell ref="BH124:BH125"/>
    <mergeCell ref="BI124:BI125"/>
    <mergeCell ref="BF120:BF121"/>
    <mergeCell ref="BG120:BG121"/>
    <mergeCell ref="BH120:BH121"/>
    <mergeCell ref="BI120:BI121"/>
    <mergeCell ref="BJ120:BJ134"/>
    <mergeCell ref="V122:V124"/>
    <mergeCell ref="W122:W124"/>
    <mergeCell ref="X122:X124"/>
    <mergeCell ref="Y122:Y124"/>
    <mergeCell ref="AZ122:AZ123"/>
    <mergeCell ref="AZ120:AZ121"/>
    <mergeCell ref="BA120:BA121"/>
    <mergeCell ref="BB120:BB121"/>
    <mergeCell ref="BC120:BC121"/>
    <mergeCell ref="BD120:BD121"/>
    <mergeCell ref="BE120:BE121"/>
    <mergeCell ref="AT120:AT131"/>
    <mergeCell ref="AU120:AU131"/>
    <mergeCell ref="AV120:AV131"/>
    <mergeCell ref="AW120:AW131"/>
    <mergeCell ref="AX120:AX131"/>
    <mergeCell ref="AY120:AY131"/>
    <mergeCell ref="AN120:AN131"/>
    <mergeCell ref="AO120:AO131"/>
    <mergeCell ref="P120:P131"/>
    <mergeCell ref="Q120:Q131"/>
    <mergeCell ref="R120:R131"/>
    <mergeCell ref="S120:S131"/>
    <mergeCell ref="T120:T131"/>
    <mergeCell ref="U120:U127"/>
    <mergeCell ref="BH116:BH117"/>
    <mergeCell ref="BI116:BI117"/>
    <mergeCell ref="G118:G119"/>
    <mergeCell ref="G120:I134"/>
    <mergeCell ref="J120:J131"/>
    <mergeCell ref="K120:K131"/>
    <mergeCell ref="L120:L131"/>
    <mergeCell ref="M120:M131"/>
    <mergeCell ref="N120:N131"/>
    <mergeCell ref="O120:O131"/>
    <mergeCell ref="BB116:BB117"/>
    <mergeCell ref="BC116:BC117"/>
    <mergeCell ref="BD116:BD117"/>
    <mergeCell ref="BE116:BE117"/>
    <mergeCell ref="BF116:BF117"/>
    <mergeCell ref="BG116:BG117"/>
    <mergeCell ref="AV116:AV117"/>
    <mergeCell ref="AW116:AW117"/>
    <mergeCell ref="AX116:AX117"/>
    <mergeCell ref="AY116:AY117"/>
    <mergeCell ref="AZ116:AZ117"/>
    <mergeCell ref="BA116:BA117"/>
    <mergeCell ref="AP116:AP117"/>
    <mergeCell ref="AQ116:AQ117"/>
    <mergeCell ref="AR116:AR117"/>
    <mergeCell ref="AS116:AS117"/>
    <mergeCell ref="AT116:AT117"/>
    <mergeCell ref="AU116:AU117"/>
    <mergeCell ref="AM116:AM117"/>
    <mergeCell ref="AN116:AN117"/>
    <mergeCell ref="AO116:AO117"/>
    <mergeCell ref="AD116:AD117"/>
    <mergeCell ref="AE116:AE117"/>
    <mergeCell ref="AF116:AF117"/>
    <mergeCell ref="AG116:AG117"/>
    <mergeCell ref="AH116:AH117"/>
    <mergeCell ref="AI116:AI117"/>
    <mergeCell ref="J116:J117"/>
    <mergeCell ref="K116:K117"/>
    <mergeCell ref="L116:L117"/>
    <mergeCell ref="M116:M117"/>
    <mergeCell ref="N116:N117"/>
    <mergeCell ref="O116:O117"/>
    <mergeCell ref="Y113:Y115"/>
    <mergeCell ref="AZ113:AZ115"/>
    <mergeCell ref="BA113:BA115"/>
    <mergeCell ref="X116:X117"/>
    <mergeCell ref="Y116:Y117"/>
    <mergeCell ref="Z116:Z117"/>
    <mergeCell ref="AA116:AA117"/>
    <mergeCell ref="AB116:AB117"/>
    <mergeCell ref="AC116:AC117"/>
    <mergeCell ref="P116:P117"/>
    <mergeCell ref="Q116:Q117"/>
    <mergeCell ref="R116:R117"/>
    <mergeCell ref="S116:S117"/>
    <mergeCell ref="T116:T117"/>
    <mergeCell ref="W116:W117"/>
    <mergeCell ref="AJ116:AJ117"/>
    <mergeCell ref="AK116:AK117"/>
    <mergeCell ref="AL116:AL117"/>
    <mergeCell ref="BF108:BF109"/>
    <mergeCell ref="BG108:BG109"/>
    <mergeCell ref="BF113:BF115"/>
    <mergeCell ref="BG113:BG115"/>
    <mergeCell ref="BH113:BH115"/>
    <mergeCell ref="BI113:BI115"/>
    <mergeCell ref="BB113:BB115"/>
    <mergeCell ref="BC113:BC115"/>
    <mergeCell ref="BD113:BD115"/>
    <mergeCell ref="V102:V104"/>
    <mergeCell ref="W102:W104"/>
    <mergeCell ref="X102:X104"/>
    <mergeCell ref="Y102:Y104"/>
    <mergeCell ref="BH108:BH109"/>
    <mergeCell ref="BI108:BI109"/>
    <mergeCell ref="O109:O115"/>
    <mergeCell ref="V109:V112"/>
    <mergeCell ref="W109:W112"/>
    <mergeCell ref="X109:X112"/>
    <mergeCell ref="Y109:Y112"/>
    <mergeCell ref="V113:V115"/>
    <mergeCell ref="W113:W115"/>
    <mergeCell ref="X113:X115"/>
    <mergeCell ref="BA108:BA109"/>
    <mergeCell ref="P102:P115"/>
    <mergeCell ref="Q102:Q115"/>
    <mergeCell ref="R102:R115"/>
    <mergeCell ref="S102:S115"/>
    <mergeCell ref="T102:T115"/>
    <mergeCell ref="U102:U115"/>
    <mergeCell ref="BB108:BB109"/>
    <mergeCell ref="BC108:BC109"/>
    <mergeCell ref="BD108:BD109"/>
    <mergeCell ref="Y107:Y108"/>
    <mergeCell ref="AA108:AA115"/>
    <mergeCell ref="AJ102:AJ115"/>
    <mergeCell ref="AK102:AK115"/>
    <mergeCell ref="AL102:AL115"/>
    <mergeCell ref="AM102:AM115"/>
    <mergeCell ref="AB102:AB115"/>
    <mergeCell ref="AC102:AC115"/>
    <mergeCell ref="AD102:AD115"/>
    <mergeCell ref="AE102:AE115"/>
    <mergeCell ref="AF102:AF115"/>
    <mergeCell ref="AG102:AG115"/>
    <mergeCell ref="Z102:Z115"/>
    <mergeCell ref="V105:V106"/>
    <mergeCell ref="W105:W106"/>
    <mergeCell ref="X105:X106"/>
    <mergeCell ref="Y105:Y106"/>
    <mergeCell ref="AZ106:AZ107"/>
    <mergeCell ref="BA106:BA107"/>
    <mergeCell ref="AT102:AT115"/>
    <mergeCell ref="AU102:AU115"/>
    <mergeCell ref="AV102:AV115"/>
    <mergeCell ref="AW102:AW115"/>
    <mergeCell ref="AX102:AX115"/>
    <mergeCell ref="AY102:AY115"/>
    <mergeCell ref="AN102:AN115"/>
    <mergeCell ref="AO102:AO115"/>
    <mergeCell ref="AP102:AP115"/>
    <mergeCell ref="AQ102:AQ115"/>
    <mergeCell ref="AR102:AR115"/>
    <mergeCell ref="AS102:AS115"/>
    <mergeCell ref="AH102:AH115"/>
    <mergeCell ref="AI102:AI115"/>
    <mergeCell ref="AA102:AA107"/>
    <mergeCell ref="V107:V108"/>
    <mergeCell ref="W107:W108"/>
    <mergeCell ref="X107:X108"/>
    <mergeCell ref="BJ102:BJ117"/>
    <mergeCell ref="AZ104:AZ105"/>
    <mergeCell ref="BA104:BA105"/>
    <mergeCell ref="BB104:BB105"/>
    <mergeCell ref="BC104:BC105"/>
    <mergeCell ref="BD104:BD105"/>
    <mergeCell ref="AZ102:AZ103"/>
    <mergeCell ref="BA102:BA103"/>
    <mergeCell ref="BB102:BB103"/>
    <mergeCell ref="BC102:BC103"/>
    <mergeCell ref="BD102:BD103"/>
    <mergeCell ref="BE102:BE115"/>
    <mergeCell ref="BB106:BB107"/>
    <mergeCell ref="BC106:BC107"/>
    <mergeCell ref="BD106:BD107"/>
    <mergeCell ref="AZ108:AZ109"/>
    <mergeCell ref="BF104:BF105"/>
    <mergeCell ref="BG104:BG105"/>
    <mergeCell ref="BH104:BH105"/>
    <mergeCell ref="BI104:BI105"/>
    <mergeCell ref="BF106:BF107"/>
    <mergeCell ref="BG106:BG107"/>
    <mergeCell ref="BH106:BH107"/>
    <mergeCell ref="BI106:BI107"/>
    <mergeCell ref="AK93:AK99"/>
    <mergeCell ref="AL93:AL99"/>
    <mergeCell ref="AM93:AM99"/>
    <mergeCell ref="AN93:AN99"/>
    <mergeCell ref="AC93:AC99"/>
    <mergeCell ref="BG93:BG94"/>
    <mergeCell ref="BG102:BG103"/>
    <mergeCell ref="BH102:BH103"/>
    <mergeCell ref="BI102:BI103"/>
    <mergeCell ref="AD93:AD99"/>
    <mergeCell ref="AE93:AE99"/>
    <mergeCell ref="AF93:AF99"/>
    <mergeCell ref="AG93:AG99"/>
    <mergeCell ref="AH93:AH99"/>
    <mergeCell ref="BF102:BF103"/>
    <mergeCell ref="BH95:BH96"/>
    <mergeCell ref="BI95:BI96"/>
    <mergeCell ref="BH93:BH94"/>
    <mergeCell ref="BI93:BI94"/>
    <mergeCell ref="BA95:BA96"/>
    <mergeCell ref="BA93:BA94"/>
    <mergeCell ref="BB93:BB94"/>
    <mergeCell ref="BC93:BC94"/>
    <mergeCell ref="BD93:BD94"/>
    <mergeCell ref="X93:X94"/>
    <mergeCell ref="Y93:Y94"/>
    <mergeCell ref="Z93:Z94"/>
    <mergeCell ref="AA93:AA94"/>
    <mergeCell ref="AB93:AB99"/>
    <mergeCell ref="Q93:Q99"/>
    <mergeCell ref="R93:R99"/>
    <mergeCell ref="S93:S99"/>
    <mergeCell ref="T93:T99"/>
    <mergeCell ref="G100:G101"/>
    <mergeCell ref="J102:J115"/>
    <mergeCell ref="K102:K115"/>
    <mergeCell ref="L102:L115"/>
    <mergeCell ref="M102:M115"/>
    <mergeCell ref="N102:N115"/>
    <mergeCell ref="O102:O107"/>
    <mergeCell ref="AY93:AY99"/>
    <mergeCell ref="AZ93:AZ94"/>
    <mergeCell ref="AO93:AO99"/>
    <mergeCell ref="AP93:AP99"/>
    <mergeCell ref="AQ93:AQ99"/>
    <mergeCell ref="AR93:AR99"/>
    <mergeCell ref="AS93:AS99"/>
    <mergeCell ref="AT93:AT99"/>
    <mergeCell ref="AI93:AI99"/>
    <mergeCell ref="AJ93:AJ99"/>
    <mergeCell ref="W95:W99"/>
    <mergeCell ref="X95:X99"/>
    <mergeCell ref="Y95:Y99"/>
    <mergeCell ref="Z95:Z99"/>
    <mergeCell ref="AA95:AA99"/>
    <mergeCell ref="AZ95:AZ96"/>
    <mergeCell ref="W93:W94"/>
    <mergeCell ref="BE93:BE99"/>
    <mergeCell ref="BF93:BF94"/>
    <mergeCell ref="BB95:BB96"/>
    <mergeCell ref="BC95:BC96"/>
    <mergeCell ref="BD95:BD96"/>
    <mergeCell ref="BF95:BF96"/>
    <mergeCell ref="AU93:AU99"/>
    <mergeCell ref="AV93:AV99"/>
    <mergeCell ref="AW93:AW99"/>
    <mergeCell ref="AX93:AX99"/>
    <mergeCell ref="BG95:BG96"/>
    <mergeCell ref="U93:U99"/>
    <mergeCell ref="V93:V99"/>
    <mergeCell ref="BG91:BG92"/>
    <mergeCell ref="BH91:BH92"/>
    <mergeCell ref="BI91:BI92"/>
    <mergeCell ref="J93:J99"/>
    <mergeCell ref="K93:K99"/>
    <mergeCell ref="L93:L99"/>
    <mergeCell ref="M93:M99"/>
    <mergeCell ref="N93:N99"/>
    <mergeCell ref="O93:O95"/>
    <mergeCell ref="P93:P99"/>
    <mergeCell ref="BA91:BA92"/>
    <mergeCell ref="BB91:BB92"/>
    <mergeCell ref="BC91:BC92"/>
    <mergeCell ref="BD91:BD92"/>
    <mergeCell ref="BE91:BE92"/>
    <mergeCell ref="BF91:BF92"/>
    <mergeCell ref="AU91:AU92"/>
    <mergeCell ref="AV91:AV92"/>
    <mergeCell ref="AW91:AW92"/>
    <mergeCell ref="AX91:AX92"/>
    <mergeCell ref="AY91:AY92"/>
    <mergeCell ref="AZ91:AZ92"/>
    <mergeCell ref="AQ91:AQ92"/>
    <mergeCell ref="AR91:AR92"/>
    <mergeCell ref="AS91:AS92"/>
    <mergeCell ref="AT91:AT92"/>
    <mergeCell ref="AI91:AI92"/>
    <mergeCell ref="AJ91:AJ92"/>
    <mergeCell ref="AK91:AK92"/>
    <mergeCell ref="AL91:AL92"/>
    <mergeCell ref="AM91:AM92"/>
    <mergeCell ref="AN91:AN92"/>
    <mergeCell ref="BJ87:BJ88"/>
    <mergeCell ref="D89:F134"/>
    <mergeCell ref="BJ90:BJ99"/>
    <mergeCell ref="J91:J92"/>
    <mergeCell ref="K91:K92"/>
    <mergeCell ref="L91:L92"/>
    <mergeCell ref="M91:M92"/>
    <mergeCell ref="N91:N92"/>
    <mergeCell ref="O91:O92"/>
    <mergeCell ref="P91:P92"/>
    <mergeCell ref="AC91:AC92"/>
    <mergeCell ref="AD91:AD92"/>
    <mergeCell ref="AE91:AE92"/>
    <mergeCell ref="AF91:AF92"/>
    <mergeCell ref="AG91:AG92"/>
    <mergeCell ref="AH91:AH92"/>
    <mergeCell ref="Q91:Q92"/>
    <mergeCell ref="S91:S92"/>
    <mergeCell ref="T91:T92"/>
    <mergeCell ref="Z91:Z92"/>
    <mergeCell ref="AA91:AA92"/>
    <mergeCell ref="AB91:AB92"/>
    <mergeCell ref="AO91:AO92"/>
    <mergeCell ref="AP91:AP92"/>
    <mergeCell ref="BG82:BG86"/>
    <mergeCell ref="BH82:BH86"/>
    <mergeCell ref="BI82:BI86"/>
    <mergeCell ref="D87:D88"/>
    <mergeCell ref="Y82:Y86"/>
    <mergeCell ref="AZ82:AZ86"/>
    <mergeCell ref="BA82:BA86"/>
    <mergeCell ref="BB82:BB86"/>
    <mergeCell ref="BC82:BC86"/>
    <mergeCell ref="BD82:BD86"/>
    <mergeCell ref="AD72:AD86"/>
    <mergeCell ref="AF72:AF86"/>
    <mergeCell ref="AH72:AH86"/>
    <mergeCell ref="T72:T86"/>
    <mergeCell ref="U72:U77"/>
    <mergeCell ref="V72:V77"/>
    <mergeCell ref="W72:W77"/>
    <mergeCell ref="X72:X77"/>
    <mergeCell ref="Y72:Y77"/>
    <mergeCell ref="W78:W81"/>
    <mergeCell ref="X78:X81"/>
    <mergeCell ref="Y78:Y81"/>
    <mergeCell ref="BG78:BG81"/>
    <mergeCell ref="BH78:BH81"/>
    <mergeCell ref="BI78:BI81"/>
    <mergeCell ref="J82:J86"/>
    <mergeCell ref="K82:K86"/>
    <mergeCell ref="M82:M86"/>
    <mergeCell ref="N82:N86"/>
    <mergeCell ref="R82:R86"/>
    <mergeCell ref="V82:V86"/>
    <mergeCell ref="W82:W86"/>
    <mergeCell ref="BA78:BA81"/>
    <mergeCell ref="BB78:BB81"/>
    <mergeCell ref="BC78:BC81"/>
    <mergeCell ref="BD78:BD81"/>
    <mergeCell ref="BE78:BE81"/>
    <mergeCell ref="BF78:BF81"/>
    <mergeCell ref="AL72:AL86"/>
    <mergeCell ref="AN72:AN86"/>
    <mergeCell ref="AP72:AP86"/>
    <mergeCell ref="AS72:AS86"/>
    <mergeCell ref="AT72:AT86"/>
    <mergeCell ref="Z72:Z86"/>
    <mergeCell ref="AA72:AA86"/>
    <mergeCell ref="AB72:AB86"/>
    <mergeCell ref="BG76:BG77"/>
    <mergeCell ref="BH76:BH77"/>
    <mergeCell ref="BI76:BI77"/>
    <mergeCell ref="J78:J81"/>
    <mergeCell ref="K78:K81"/>
    <mergeCell ref="M78:M81"/>
    <mergeCell ref="N78:N81"/>
    <mergeCell ref="R78:R81"/>
    <mergeCell ref="U78:U86"/>
    <mergeCell ref="V78:V81"/>
    <mergeCell ref="BA76:BA77"/>
    <mergeCell ref="BB76:BB77"/>
    <mergeCell ref="BC76:BC77"/>
    <mergeCell ref="BD76:BD77"/>
    <mergeCell ref="BE76:BE77"/>
    <mergeCell ref="BF76:BF77"/>
    <mergeCell ref="AU72:AU86"/>
    <mergeCell ref="AV72:AV86"/>
    <mergeCell ref="AW72:AW86"/>
    <mergeCell ref="AX72:AX86"/>
    <mergeCell ref="AY72:AY86"/>
    <mergeCell ref="AZ76:AZ77"/>
    <mergeCell ref="AZ78:AZ81"/>
    <mergeCell ref="AJ72:AJ86"/>
    <mergeCell ref="R72:R77"/>
    <mergeCell ref="S72:S86"/>
    <mergeCell ref="BF82:BF86"/>
    <mergeCell ref="BE68:BE71"/>
    <mergeCell ref="BF68:BF71"/>
    <mergeCell ref="AQ68:AQ71"/>
    <mergeCell ref="AR68:AR71"/>
    <mergeCell ref="AG68:AG71"/>
    <mergeCell ref="AH68:AH71"/>
    <mergeCell ref="AI68:AI71"/>
    <mergeCell ref="AJ68:AJ71"/>
    <mergeCell ref="AK68:AK71"/>
    <mergeCell ref="AL68:AL71"/>
    <mergeCell ref="O72:O86"/>
    <mergeCell ref="P72:P86"/>
    <mergeCell ref="Q72:Q86"/>
    <mergeCell ref="AC68:AC71"/>
    <mergeCell ref="AD68:AD71"/>
    <mergeCell ref="AE68:AE71"/>
    <mergeCell ref="AF68:AF71"/>
    <mergeCell ref="S68:S71"/>
    <mergeCell ref="BE82:BE86"/>
    <mergeCell ref="BI68:BI71"/>
    <mergeCell ref="BC68:BC71"/>
    <mergeCell ref="BD68:BD71"/>
    <mergeCell ref="G72:I86"/>
    <mergeCell ref="J72:J77"/>
    <mergeCell ref="K72:K77"/>
    <mergeCell ref="L72:L86"/>
    <mergeCell ref="M72:M77"/>
    <mergeCell ref="AY68:AY71"/>
    <mergeCell ref="AZ68:AZ71"/>
    <mergeCell ref="BA68:BA71"/>
    <mergeCell ref="BB68:BB71"/>
    <mergeCell ref="AS68:AS71"/>
    <mergeCell ref="AT68:AT71"/>
    <mergeCell ref="AU68:AU71"/>
    <mergeCell ref="AV68:AV71"/>
    <mergeCell ref="AW68:AW71"/>
    <mergeCell ref="AX68:AX71"/>
    <mergeCell ref="AM68:AM71"/>
    <mergeCell ref="AN68:AN71"/>
    <mergeCell ref="AO68:AO71"/>
    <mergeCell ref="AP68:AP71"/>
    <mergeCell ref="X82:X86"/>
    <mergeCell ref="N72:N77"/>
    <mergeCell ref="AR62:AR67"/>
    <mergeCell ref="AA68:AA71"/>
    <mergeCell ref="AB68:AB71"/>
    <mergeCell ref="BJ62:BJ86"/>
    <mergeCell ref="J68:J71"/>
    <mergeCell ref="K68:K71"/>
    <mergeCell ref="L68:L71"/>
    <mergeCell ref="M68:M71"/>
    <mergeCell ref="N68:N71"/>
    <mergeCell ref="O68:O71"/>
    <mergeCell ref="P68:P71"/>
    <mergeCell ref="Q68:Q71"/>
    <mergeCell ref="R68:R71"/>
    <mergeCell ref="AU62:AU67"/>
    <mergeCell ref="AV62:AV67"/>
    <mergeCell ref="AW62:AW67"/>
    <mergeCell ref="AX62:AX67"/>
    <mergeCell ref="AY62:AY67"/>
    <mergeCell ref="BC62:BC64"/>
    <mergeCell ref="AO62:AO67"/>
    <mergeCell ref="AP62:AP67"/>
    <mergeCell ref="AQ62:AQ67"/>
    <mergeCell ref="BG68:BG71"/>
    <mergeCell ref="BH68:BH71"/>
    <mergeCell ref="AI62:AI67"/>
    <mergeCell ref="AJ62:AJ67"/>
    <mergeCell ref="AK62:AK67"/>
    <mergeCell ref="AL62:AL67"/>
    <mergeCell ref="AM62:AM67"/>
    <mergeCell ref="AN62:AN67"/>
    <mergeCell ref="T68:T71"/>
    <mergeCell ref="W68:W71"/>
    <mergeCell ref="X68:X71"/>
    <mergeCell ref="Y68:Y71"/>
    <mergeCell ref="Z68:Z71"/>
    <mergeCell ref="AG62:AG67"/>
    <mergeCell ref="AH62:AH67"/>
    <mergeCell ref="W62:W67"/>
    <mergeCell ref="X62:X67"/>
    <mergeCell ref="Y62:Y67"/>
    <mergeCell ref="Z62:Z67"/>
    <mergeCell ref="AA62:AA67"/>
    <mergeCell ref="AB62:AB67"/>
    <mergeCell ref="AF62:AF67"/>
    <mergeCell ref="AC62:AC67"/>
    <mergeCell ref="AD62:AD67"/>
    <mergeCell ref="AE62:AE67"/>
    <mergeCell ref="O62:O67"/>
    <mergeCell ref="P62:P67"/>
    <mergeCell ref="Q62:Q67"/>
    <mergeCell ref="R62:R67"/>
    <mergeCell ref="S62:S67"/>
    <mergeCell ref="T62:T67"/>
    <mergeCell ref="BG54:BG59"/>
    <mergeCell ref="BH54:BH59"/>
    <mergeCell ref="BI54:BI59"/>
    <mergeCell ref="AT48:AT59"/>
    <mergeCell ref="AU48:AU59"/>
    <mergeCell ref="AV48:AV59"/>
    <mergeCell ref="AK48:AK59"/>
    <mergeCell ref="AL48:AL59"/>
    <mergeCell ref="AM48:AM59"/>
    <mergeCell ref="AN48:AN59"/>
    <mergeCell ref="AO48:AO59"/>
    <mergeCell ref="AP48:AP59"/>
    <mergeCell ref="AE48:AE59"/>
    <mergeCell ref="AF48:AF59"/>
    <mergeCell ref="AG48:AG59"/>
    <mergeCell ref="AH48:AH59"/>
    <mergeCell ref="AI48:AI59"/>
    <mergeCell ref="AJ48:AJ59"/>
    <mergeCell ref="G60:G61"/>
    <mergeCell ref="BJ60:BJ61"/>
    <mergeCell ref="J62:J67"/>
    <mergeCell ref="K62:K67"/>
    <mergeCell ref="L62:L67"/>
    <mergeCell ref="M62:M67"/>
    <mergeCell ref="N62:N67"/>
    <mergeCell ref="BA54:BA59"/>
    <mergeCell ref="BB54:BB59"/>
    <mergeCell ref="BC54:BC59"/>
    <mergeCell ref="BD54:BD59"/>
    <mergeCell ref="BE54:BE59"/>
    <mergeCell ref="BF54:BF59"/>
    <mergeCell ref="W54:W59"/>
    <mergeCell ref="X54:X59"/>
    <mergeCell ref="Y54:Y59"/>
    <mergeCell ref="Z54:Z59"/>
    <mergeCell ref="AA54:AA59"/>
    <mergeCell ref="AZ54:AZ59"/>
    <mergeCell ref="BJ48:BJ59"/>
    <mergeCell ref="V49:V51"/>
    <mergeCell ref="AQ48:AQ59"/>
    <mergeCell ref="AR48:AR59"/>
    <mergeCell ref="AS48:AS59"/>
    <mergeCell ref="BJ24:BJ45"/>
    <mergeCell ref="R24:R31"/>
    <mergeCell ref="BA32:BA39"/>
    <mergeCell ref="BA24:BA31"/>
    <mergeCell ref="Z48:Z53"/>
    <mergeCell ref="AA48:AA53"/>
    <mergeCell ref="AB48:AB59"/>
    <mergeCell ref="AC48:AC59"/>
    <mergeCell ref="AD48:AD59"/>
    <mergeCell ref="W49:W51"/>
    <mergeCell ref="X49:X51"/>
    <mergeCell ref="Y49:Y51"/>
    <mergeCell ref="W52:W53"/>
    <mergeCell ref="BF51:BF52"/>
    <mergeCell ref="BG51:BG52"/>
    <mergeCell ref="BH51:BH52"/>
    <mergeCell ref="BI51:BI52"/>
    <mergeCell ref="R52:R53"/>
    <mergeCell ref="V52:V53"/>
    <mergeCell ref="AZ51:AZ52"/>
    <mergeCell ref="BA51:BA52"/>
    <mergeCell ref="BB51:BB52"/>
    <mergeCell ref="BC51:BC52"/>
    <mergeCell ref="BJ46:BJ47"/>
    <mergeCell ref="G48:I59"/>
    <mergeCell ref="L48:L59"/>
    <mergeCell ref="O48:O53"/>
    <mergeCell ref="P48:P59"/>
    <mergeCell ref="Q48:Q59"/>
    <mergeCell ref="S48:S59"/>
    <mergeCell ref="T48:T59"/>
    <mergeCell ref="J52:J53"/>
    <mergeCell ref="K52:K53"/>
    <mergeCell ref="M52:M53"/>
    <mergeCell ref="N52:N53"/>
    <mergeCell ref="J54:J59"/>
    <mergeCell ref="K54:K59"/>
    <mergeCell ref="M54:M59"/>
    <mergeCell ref="N54:N59"/>
    <mergeCell ref="O54:O59"/>
    <mergeCell ref="R54:R59"/>
    <mergeCell ref="J49:J51"/>
    <mergeCell ref="K49:K51"/>
    <mergeCell ref="M49:M51"/>
    <mergeCell ref="N49:N51"/>
    <mergeCell ref="R49:R51"/>
    <mergeCell ref="X52:X53"/>
    <mergeCell ref="Y52:Y53"/>
    <mergeCell ref="U54:U59"/>
    <mergeCell ref="V54:V59"/>
    <mergeCell ref="U48:U53"/>
    <mergeCell ref="J32:J39"/>
    <mergeCell ref="K32:K39"/>
    <mergeCell ref="M32:M39"/>
    <mergeCell ref="N32:N39"/>
    <mergeCell ref="R32:R39"/>
    <mergeCell ref="U32:U39"/>
    <mergeCell ref="V32:V39"/>
    <mergeCell ref="W32:W39"/>
    <mergeCell ref="G46:G47"/>
    <mergeCell ref="K40:K45"/>
    <mergeCell ref="M40:M45"/>
    <mergeCell ref="N40:N45"/>
    <mergeCell ref="R40:R45"/>
    <mergeCell ref="U40:U45"/>
    <mergeCell ref="V40:V45"/>
    <mergeCell ref="W40:W45"/>
    <mergeCell ref="S24:S45"/>
    <mergeCell ref="T24:T45"/>
    <mergeCell ref="U24:U31"/>
    <mergeCell ref="V24:V31"/>
    <mergeCell ref="W24:W31"/>
    <mergeCell ref="BH19:BH23"/>
    <mergeCell ref="BI19:BI23"/>
    <mergeCell ref="J24:J31"/>
    <mergeCell ref="K24:K31"/>
    <mergeCell ref="L24:L45"/>
    <mergeCell ref="M24:M31"/>
    <mergeCell ref="N24:N31"/>
    <mergeCell ref="O24:O45"/>
    <mergeCell ref="P24:P44"/>
    <mergeCell ref="Q24:Q45"/>
    <mergeCell ref="BB19:BB23"/>
    <mergeCell ref="BC19:BC23"/>
    <mergeCell ref="BD19:BD23"/>
    <mergeCell ref="BE19:BE23"/>
    <mergeCell ref="BF19:BF23"/>
    <mergeCell ref="BG19:BG23"/>
    <mergeCell ref="AP14:AP45"/>
    <mergeCell ref="AQ14:AQ45"/>
    <mergeCell ref="AR14:AR45"/>
    <mergeCell ref="AS14:AS45"/>
    <mergeCell ref="AT14:AT45"/>
    <mergeCell ref="AU14:AU45"/>
    <mergeCell ref="AJ14:AJ45"/>
    <mergeCell ref="J40:J45"/>
    <mergeCell ref="BH14:BH18"/>
    <mergeCell ref="BI14:BI18"/>
    <mergeCell ref="BJ14:BJ23"/>
    <mergeCell ref="J19:J23"/>
    <mergeCell ref="K19:K23"/>
    <mergeCell ref="M19:M23"/>
    <mergeCell ref="N19:N23"/>
    <mergeCell ref="R19:R23"/>
    <mergeCell ref="U19:U23"/>
    <mergeCell ref="V19:V23"/>
    <mergeCell ref="BB14:BB18"/>
    <mergeCell ref="BC14:BC18"/>
    <mergeCell ref="BD14:BD18"/>
    <mergeCell ref="BE14:BE18"/>
    <mergeCell ref="BF14:BF18"/>
    <mergeCell ref="BG14:BG18"/>
    <mergeCell ref="AV14:AV45"/>
    <mergeCell ref="AW14:AW45"/>
    <mergeCell ref="AX14:AX45"/>
    <mergeCell ref="AY14:AY45"/>
    <mergeCell ref="AZ14:AZ18"/>
    <mergeCell ref="BA14:BA18"/>
    <mergeCell ref="AZ19:AZ23"/>
    <mergeCell ref="X32:X39"/>
    <mergeCell ref="BA19:BA23"/>
    <mergeCell ref="Y14:Y18"/>
    <mergeCell ref="Z14:Z23"/>
    <mergeCell ref="AA14:AA23"/>
    <mergeCell ref="AB14:AB45"/>
    <mergeCell ref="AC14:AC45"/>
    <mergeCell ref="X19:X23"/>
    <mergeCell ref="Y19:Y23"/>
    <mergeCell ref="X24:X31"/>
    <mergeCell ref="Y24:Y31"/>
    <mergeCell ref="AA24:AA45"/>
    <mergeCell ref="Y32:Y39"/>
    <mergeCell ref="Z32:Z39"/>
    <mergeCell ref="X40:X45"/>
    <mergeCell ref="Y40:Y45"/>
    <mergeCell ref="Z40:Z45"/>
    <mergeCell ref="X14:X18"/>
    <mergeCell ref="AZ32:AZ39"/>
    <mergeCell ref="AZ40:AZ45"/>
    <mergeCell ref="AK14:AK45"/>
    <mergeCell ref="Z24:Z31"/>
    <mergeCell ref="AG14:AG45"/>
    <mergeCell ref="AH14:AH45"/>
    <mergeCell ref="AI14:AI45"/>
    <mergeCell ref="S14:S23"/>
    <mergeCell ref="T14:T23"/>
    <mergeCell ref="U14:U18"/>
    <mergeCell ref="V14:V18"/>
    <mergeCell ref="W14:W18"/>
    <mergeCell ref="W19:W23"/>
    <mergeCell ref="L14:L23"/>
    <mergeCell ref="M14:M18"/>
    <mergeCell ref="N14:N18"/>
    <mergeCell ref="O14:O23"/>
    <mergeCell ref="P14:P23"/>
    <mergeCell ref="Q14:Q23"/>
    <mergeCell ref="A12:C134"/>
    <mergeCell ref="D13:F86"/>
    <mergeCell ref="G14:I45"/>
    <mergeCell ref="J14:J18"/>
    <mergeCell ref="K14:K18"/>
    <mergeCell ref="J132:J134"/>
    <mergeCell ref="K132:K134"/>
    <mergeCell ref="AZ8:AZ9"/>
    <mergeCell ref="Z7:Z9"/>
    <mergeCell ref="AA7:AA9"/>
    <mergeCell ref="R7:R9"/>
    <mergeCell ref="S7:S9"/>
    <mergeCell ref="T7:T9"/>
    <mergeCell ref="U7:U9"/>
    <mergeCell ref="V7:V9"/>
    <mergeCell ref="W7:Y8"/>
    <mergeCell ref="K7:K9"/>
    <mergeCell ref="L7:L9"/>
    <mergeCell ref="M7:N8"/>
    <mergeCell ref="O7:O9"/>
    <mergeCell ref="P7:P9"/>
    <mergeCell ref="Q7:Q9"/>
    <mergeCell ref="AZ24:AZ31"/>
    <mergeCell ref="R14:R18"/>
    <mergeCell ref="A10:A11"/>
    <mergeCell ref="A7:A9"/>
    <mergeCell ref="B7:C9"/>
    <mergeCell ref="D7:D9"/>
    <mergeCell ref="E7:F9"/>
    <mergeCell ref="G7:G9"/>
    <mergeCell ref="H7:I9"/>
    <mergeCell ref="J7:J9"/>
    <mergeCell ref="BA8:BA9"/>
    <mergeCell ref="BH7:BI8"/>
    <mergeCell ref="BJ7:BJ9"/>
    <mergeCell ref="AB8:AC8"/>
    <mergeCell ref="AD8:AE8"/>
    <mergeCell ref="AF8:AG8"/>
    <mergeCell ref="AH8:AI8"/>
    <mergeCell ref="AJ8:AK8"/>
    <mergeCell ref="AL8:AM8"/>
    <mergeCell ref="AN8:AO8"/>
    <mergeCell ref="AP8:AQ8"/>
    <mergeCell ref="AB7:AM7"/>
    <mergeCell ref="AN7:AY7"/>
    <mergeCell ref="AZ7:BE7"/>
    <mergeCell ref="BF7:BG8"/>
    <mergeCell ref="AR8:AS8"/>
    <mergeCell ref="AT8:AU8"/>
    <mergeCell ref="AV8:AW8"/>
    <mergeCell ref="AX8:AY8"/>
    <mergeCell ref="BB8:BB9"/>
    <mergeCell ref="BC8:BC9"/>
    <mergeCell ref="BD8:BD9"/>
    <mergeCell ref="BE8:BE9"/>
    <mergeCell ref="BI32:BI39"/>
    <mergeCell ref="BB24:BB31"/>
    <mergeCell ref="BC24:BC31"/>
    <mergeCell ref="BD24:BD31"/>
    <mergeCell ref="BE24:BE31"/>
    <mergeCell ref="BF24:BF31"/>
    <mergeCell ref="BG24:BG31"/>
    <mergeCell ref="BH24:BH31"/>
    <mergeCell ref="BI24:BI31"/>
    <mergeCell ref="BB32:BB39"/>
    <mergeCell ref="BC32:BC39"/>
    <mergeCell ref="BD32:BD39"/>
    <mergeCell ref="BE32:BE39"/>
    <mergeCell ref="BF32:BF39"/>
    <mergeCell ref="BG32:BG39"/>
    <mergeCell ref="BH32:BH39"/>
    <mergeCell ref="A1:BF4"/>
    <mergeCell ref="BD51:BD52"/>
    <mergeCell ref="BE51:BE52"/>
    <mergeCell ref="AW48:AW59"/>
    <mergeCell ref="AX48:AX59"/>
    <mergeCell ref="AY48:AY59"/>
    <mergeCell ref="AS62:AS67"/>
    <mergeCell ref="AT62:AT67"/>
    <mergeCell ref="BI40:BI45"/>
    <mergeCell ref="BH40:BH45"/>
    <mergeCell ref="BA40:BA45"/>
    <mergeCell ref="BB40:BB45"/>
    <mergeCell ref="BC40:BC45"/>
    <mergeCell ref="BD40:BD45"/>
    <mergeCell ref="BE40:BE45"/>
    <mergeCell ref="BF40:BF45"/>
    <mergeCell ref="BG40:BG45"/>
    <mergeCell ref="AL14:AL45"/>
    <mergeCell ref="AM14:AM45"/>
    <mergeCell ref="AN14:AN45"/>
    <mergeCell ref="AO14:AO45"/>
    <mergeCell ref="AD14:AD45"/>
    <mergeCell ref="AE14:AE45"/>
    <mergeCell ref="AF14:AF4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J61"/>
  <sheetViews>
    <sheetView topLeftCell="I1" zoomScale="55" zoomScaleNormal="55" zoomScalePageLayoutView="75" workbookViewId="0">
      <selection activeCell="U19" sqref="U19"/>
    </sheetView>
  </sheetViews>
  <sheetFormatPr baseColWidth="10" defaultColWidth="11.42578125" defaultRowHeight="14.25" x14ac:dyDescent="0.2"/>
  <cols>
    <col min="1" max="1" width="6.28515625" style="3" customWidth="1"/>
    <col min="2" max="2" width="5.7109375" style="3" customWidth="1"/>
    <col min="3" max="3" width="5.42578125" style="3" customWidth="1"/>
    <col min="4" max="4" width="7.5703125" style="3" customWidth="1"/>
    <col min="5" max="5" width="5.5703125" style="685" customWidth="1"/>
    <col min="6" max="6" width="7.42578125" style="3" customWidth="1"/>
    <col min="7" max="7" width="11.85546875" style="3" customWidth="1"/>
    <col min="8" max="8" width="8.42578125" style="3" customWidth="1"/>
    <col min="9" max="9" width="9.28515625" style="3" customWidth="1"/>
    <col min="10" max="10" width="10.7109375" style="3" customWidth="1"/>
    <col min="11" max="11" width="25.42578125" style="7" customWidth="1"/>
    <col min="12" max="12" width="9.140625" style="3" customWidth="1"/>
    <col min="13" max="13" width="10.5703125" style="3" customWidth="1"/>
    <col min="14" max="14" width="10.85546875" style="396" customWidth="1"/>
    <col min="15" max="15" width="29.42578125" style="3" customWidth="1"/>
    <col min="16" max="16" width="10.5703125" style="3" customWidth="1"/>
    <col min="17" max="17" width="24.7109375" style="7" customWidth="1"/>
    <col min="18" max="18" width="10" style="414" customWidth="1"/>
    <col min="19" max="19" width="32.28515625" style="414" customWidth="1"/>
    <col min="20" max="20" width="30.7109375" style="7" customWidth="1"/>
    <col min="21" max="21" width="41.140625" style="7" customWidth="1"/>
    <col min="22" max="22" width="27.7109375" style="7" customWidth="1"/>
    <col min="23" max="23" width="32" style="414" customWidth="1"/>
    <col min="24" max="24" width="29.28515625" style="492" customWidth="1"/>
    <col min="25" max="25" width="29.42578125" style="492" customWidth="1"/>
    <col min="26" max="26" width="21.7109375" style="8" customWidth="1"/>
    <col min="27" max="27" width="16.28515625" style="414" customWidth="1"/>
    <col min="28" max="28" width="8.28515625" style="3" bestFit="1" customWidth="1"/>
    <col min="29" max="29" width="8.28515625" style="396" bestFit="1" customWidth="1"/>
    <col min="30" max="30" width="9" style="3" bestFit="1" customWidth="1"/>
    <col min="31" max="31" width="9.7109375" style="396" customWidth="1"/>
    <col min="32" max="32" width="8.42578125" style="3" bestFit="1" customWidth="1"/>
    <col min="33" max="33" width="9.7109375" style="396" customWidth="1"/>
    <col min="34" max="34" width="10.140625" style="3" customWidth="1"/>
    <col min="35" max="35" width="10.28515625" style="396" bestFit="1" customWidth="1"/>
    <col min="36" max="36" width="9.42578125" style="3" bestFit="1" customWidth="1"/>
    <col min="37" max="37" width="9.42578125" style="396" bestFit="1" customWidth="1"/>
    <col min="38" max="38" width="9" style="3" bestFit="1" customWidth="1"/>
    <col min="39" max="39" width="10.140625" style="396" customWidth="1"/>
    <col min="40" max="40" width="7.7109375" style="3" customWidth="1"/>
    <col min="41" max="41" width="7.7109375" style="396" customWidth="1"/>
    <col min="42" max="42" width="7.7109375" style="3" customWidth="1"/>
    <col min="43" max="43" width="7.7109375" style="396" customWidth="1"/>
    <col min="44" max="44" width="7.7109375" style="3" customWidth="1"/>
    <col min="45" max="45" width="7.7109375" style="396" customWidth="1"/>
    <col min="46" max="46" width="7.7109375" style="3" customWidth="1"/>
    <col min="47" max="47" width="7.7109375" style="396" customWidth="1"/>
    <col min="48" max="48" width="7.7109375" style="3" customWidth="1"/>
    <col min="49" max="49" width="7.7109375" style="396" customWidth="1"/>
    <col min="50" max="50" width="7.7109375" style="3" customWidth="1"/>
    <col min="51" max="51" width="7.7109375" style="396" customWidth="1"/>
    <col min="52" max="52" width="19.7109375" style="298" customWidth="1"/>
    <col min="53" max="53" width="21.140625" style="1502" customWidth="1"/>
    <col min="54" max="54" width="20.7109375" style="1503" customWidth="1"/>
    <col min="55" max="56" width="23" style="3" customWidth="1"/>
    <col min="57" max="57" width="23" style="298" customWidth="1"/>
    <col min="58" max="58" width="22.7109375" style="414" customWidth="1"/>
    <col min="59" max="59" width="22.7109375" style="492" customWidth="1"/>
    <col min="60" max="60" width="22.7109375" style="1453" customWidth="1"/>
    <col min="61" max="61" width="22.7109375" style="1454" customWidth="1"/>
    <col min="62" max="62" width="28.7109375" style="437" customWidth="1"/>
    <col min="63" max="16384" width="11.42578125" style="3"/>
  </cols>
  <sheetData>
    <row r="1" spans="1:62" s="4" customFormat="1" ht="18" customHeight="1" x14ac:dyDescent="0.25">
      <c r="A1" s="3017" t="s">
        <v>671</v>
      </c>
      <c r="B1" s="3017"/>
      <c r="C1" s="3017"/>
      <c r="D1" s="3017"/>
      <c r="E1" s="3017"/>
      <c r="F1" s="3017"/>
      <c r="G1" s="3017"/>
      <c r="H1" s="3017"/>
      <c r="I1" s="3017"/>
      <c r="J1" s="3017"/>
      <c r="K1" s="3017"/>
      <c r="L1" s="3017"/>
      <c r="M1" s="3017"/>
      <c r="N1" s="3017"/>
      <c r="O1" s="3017"/>
      <c r="P1" s="3017"/>
      <c r="Q1" s="3017"/>
      <c r="R1" s="3017"/>
      <c r="S1" s="3017"/>
      <c r="T1" s="3017"/>
      <c r="U1" s="3017"/>
      <c r="V1" s="3017"/>
      <c r="W1" s="3017"/>
      <c r="X1" s="3017"/>
      <c r="Y1" s="3017"/>
      <c r="Z1" s="3017"/>
      <c r="AA1" s="3017"/>
      <c r="AB1" s="3017"/>
      <c r="AC1" s="3017"/>
      <c r="AD1" s="3017"/>
      <c r="AE1" s="3017"/>
      <c r="AF1" s="3017"/>
      <c r="AG1" s="3017"/>
      <c r="AH1" s="3017"/>
      <c r="AI1" s="3017"/>
      <c r="AJ1" s="3017"/>
      <c r="AK1" s="3017"/>
      <c r="AL1" s="3017"/>
      <c r="AM1" s="3017"/>
      <c r="AN1" s="3017"/>
      <c r="AO1" s="3017"/>
      <c r="AP1" s="3017"/>
      <c r="AQ1" s="3017"/>
      <c r="AR1" s="3017"/>
      <c r="AS1" s="3017"/>
      <c r="AT1" s="3017"/>
      <c r="AU1" s="3017"/>
      <c r="AV1" s="3017"/>
      <c r="AW1" s="3017"/>
      <c r="AX1" s="3017"/>
      <c r="AY1" s="3017"/>
      <c r="AZ1" s="3017"/>
      <c r="BA1" s="3017"/>
      <c r="BB1" s="3017"/>
      <c r="BC1" s="3017"/>
      <c r="BD1" s="3017"/>
      <c r="BE1" s="3017"/>
      <c r="BF1" s="3018"/>
      <c r="BG1" s="1892"/>
      <c r="BI1" s="1895" t="s">
        <v>1</v>
      </c>
      <c r="BJ1" s="1895" t="s">
        <v>2</v>
      </c>
    </row>
    <row r="2" spans="1:62" s="4" customFormat="1" ht="15" x14ac:dyDescent="0.25">
      <c r="A2" s="3017"/>
      <c r="B2" s="3017"/>
      <c r="C2" s="3017"/>
      <c r="D2" s="3017"/>
      <c r="E2" s="3017"/>
      <c r="F2" s="3017"/>
      <c r="G2" s="3017"/>
      <c r="H2" s="3017"/>
      <c r="I2" s="3017"/>
      <c r="J2" s="3017"/>
      <c r="K2" s="3017"/>
      <c r="L2" s="3017"/>
      <c r="M2" s="3017"/>
      <c r="N2" s="3017"/>
      <c r="O2" s="3017"/>
      <c r="P2" s="3017"/>
      <c r="Q2" s="3017"/>
      <c r="R2" s="3017"/>
      <c r="S2" s="3017"/>
      <c r="T2" s="3017"/>
      <c r="U2" s="3017"/>
      <c r="V2" s="3017"/>
      <c r="W2" s="3017"/>
      <c r="X2" s="3017"/>
      <c r="Y2" s="3017"/>
      <c r="Z2" s="3017"/>
      <c r="AA2" s="3017"/>
      <c r="AB2" s="3017"/>
      <c r="AC2" s="3017"/>
      <c r="AD2" s="3017"/>
      <c r="AE2" s="3017"/>
      <c r="AF2" s="3017"/>
      <c r="AG2" s="3017"/>
      <c r="AH2" s="3017"/>
      <c r="AI2" s="3017"/>
      <c r="AJ2" s="3017"/>
      <c r="AK2" s="3017"/>
      <c r="AL2" s="3017"/>
      <c r="AM2" s="3017"/>
      <c r="AN2" s="3017"/>
      <c r="AO2" s="3017"/>
      <c r="AP2" s="3017"/>
      <c r="AQ2" s="3017"/>
      <c r="AR2" s="3017"/>
      <c r="AS2" s="3017"/>
      <c r="AT2" s="3017"/>
      <c r="AU2" s="3017"/>
      <c r="AV2" s="3017"/>
      <c r="AW2" s="3017"/>
      <c r="AX2" s="3017"/>
      <c r="AY2" s="3017"/>
      <c r="AZ2" s="3017"/>
      <c r="BA2" s="3017"/>
      <c r="BB2" s="3017"/>
      <c r="BC2" s="3017"/>
      <c r="BD2" s="3017"/>
      <c r="BE2" s="3017"/>
      <c r="BF2" s="3018"/>
      <c r="BG2" s="1892"/>
      <c r="BI2" s="1896" t="s">
        <v>3</v>
      </c>
      <c r="BJ2" s="1897">
        <v>5</v>
      </c>
    </row>
    <row r="3" spans="1:62" s="4" customFormat="1" ht="19.5" customHeight="1" x14ac:dyDescent="0.25">
      <c r="A3" s="3017"/>
      <c r="B3" s="3017"/>
      <c r="C3" s="3017"/>
      <c r="D3" s="3017"/>
      <c r="E3" s="3017"/>
      <c r="F3" s="3017"/>
      <c r="G3" s="3017"/>
      <c r="H3" s="3017"/>
      <c r="I3" s="3017"/>
      <c r="J3" s="3017"/>
      <c r="K3" s="3017"/>
      <c r="L3" s="3017"/>
      <c r="M3" s="3017"/>
      <c r="N3" s="3017"/>
      <c r="O3" s="3017"/>
      <c r="P3" s="3017"/>
      <c r="Q3" s="3017"/>
      <c r="R3" s="3017"/>
      <c r="S3" s="3017"/>
      <c r="T3" s="3017"/>
      <c r="U3" s="3017"/>
      <c r="V3" s="3017"/>
      <c r="W3" s="3017"/>
      <c r="X3" s="3017"/>
      <c r="Y3" s="3017"/>
      <c r="Z3" s="3017"/>
      <c r="AA3" s="3017"/>
      <c r="AB3" s="3017"/>
      <c r="AC3" s="3017"/>
      <c r="AD3" s="3017"/>
      <c r="AE3" s="3017"/>
      <c r="AF3" s="3017"/>
      <c r="AG3" s="3017"/>
      <c r="AH3" s="3017"/>
      <c r="AI3" s="3017"/>
      <c r="AJ3" s="3017"/>
      <c r="AK3" s="3017"/>
      <c r="AL3" s="3017"/>
      <c r="AM3" s="3017"/>
      <c r="AN3" s="3017"/>
      <c r="AO3" s="3017"/>
      <c r="AP3" s="3017"/>
      <c r="AQ3" s="3017"/>
      <c r="AR3" s="3017"/>
      <c r="AS3" s="3017"/>
      <c r="AT3" s="3017"/>
      <c r="AU3" s="3017"/>
      <c r="AV3" s="3017"/>
      <c r="AW3" s="3017"/>
      <c r="AX3" s="3017"/>
      <c r="AY3" s="3017"/>
      <c r="AZ3" s="3017"/>
      <c r="BA3" s="3017"/>
      <c r="BB3" s="3017"/>
      <c r="BC3" s="3017"/>
      <c r="BD3" s="3017"/>
      <c r="BE3" s="3017"/>
      <c r="BF3" s="3018"/>
      <c r="BG3" s="1892"/>
      <c r="BI3" s="1895" t="s">
        <v>4</v>
      </c>
      <c r="BJ3" s="1898" t="s">
        <v>335</v>
      </c>
    </row>
    <row r="4" spans="1:62" s="4" customFormat="1" ht="23.25" customHeight="1" x14ac:dyDescent="0.2">
      <c r="A4" s="3017"/>
      <c r="B4" s="3017"/>
      <c r="C4" s="3017"/>
      <c r="D4" s="3017"/>
      <c r="E4" s="3017"/>
      <c r="F4" s="3017"/>
      <c r="G4" s="3017"/>
      <c r="H4" s="3017"/>
      <c r="I4" s="3017"/>
      <c r="J4" s="3017"/>
      <c r="K4" s="3017"/>
      <c r="L4" s="3017"/>
      <c r="M4" s="3017"/>
      <c r="N4" s="3017"/>
      <c r="O4" s="3017"/>
      <c r="P4" s="3017"/>
      <c r="Q4" s="3017"/>
      <c r="R4" s="3017"/>
      <c r="S4" s="3017"/>
      <c r="T4" s="3017"/>
      <c r="U4" s="3017"/>
      <c r="V4" s="3017"/>
      <c r="W4" s="3017"/>
      <c r="X4" s="3017"/>
      <c r="Y4" s="3017"/>
      <c r="Z4" s="3017"/>
      <c r="AA4" s="3017"/>
      <c r="AB4" s="3017"/>
      <c r="AC4" s="3017"/>
      <c r="AD4" s="3017"/>
      <c r="AE4" s="3017"/>
      <c r="AF4" s="3017"/>
      <c r="AG4" s="3017"/>
      <c r="AH4" s="3017"/>
      <c r="AI4" s="3017"/>
      <c r="AJ4" s="3017"/>
      <c r="AK4" s="3017"/>
      <c r="AL4" s="3017"/>
      <c r="AM4" s="3017"/>
      <c r="AN4" s="3017"/>
      <c r="AO4" s="3017"/>
      <c r="AP4" s="3017"/>
      <c r="AQ4" s="3017"/>
      <c r="AR4" s="3017"/>
      <c r="AS4" s="3017"/>
      <c r="AT4" s="3017"/>
      <c r="AU4" s="3017"/>
      <c r="AV4" s="3017"/>
      <c r="AW4" s="3017"/>
      <c r="AX4" s="3017"/>
      <c r="AY4" s="3017"/>
      <c r="AZ4" s="3017"/>
      <c r="BA4" s="3017"/>
      <c r="BB4" s="3017"/>
      <c r="BC4" s="3017"/>
      <c r="BD4" s="3017"/>
      <c r="BE4" s="3017"/>
      <c r="BF4" s="3018"/>
      <c r="BG4" s="1892"/>
      <c r="BI4" s="679" t="s">
        <v>6</v>
      </c>
      <c r="BJ4" s="1899" t="s">
        <v>7</v>
      </c>
    </row>
    <row r="5" spans="1:62"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2" s="4" customFormat="1"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2" s="4" customFormat="1" ht="24" customHeight="1" x14ac:dyDescent="0.2">
      <c r="A7" s="2731" t="s">
        <v>11</v>
      </c>
      <c r="B7" s="2729" t="s">
        <v>12</v>
      </c>
      <c r="C7" s="2731"/>
      <c r="D7" s="2735" t="s">
        <v>11</v>
      </c>
      <c r="E7" s="2729" t="s">
        <v>13</v>
      </c>
      <c r="F7" s="2731"/>
      <c r="G7" s="2735" t="s">
        <v>11</v>
      </c>
      <c r="H7" s="2729" t="s">
        <v>14</v>
      </c>
      <c r="I7" s="2731"/>
      <c r="J7" s="2735" t="s">
        <v>11</v>
      </c>
      <c r="K7" s="4217" t="s">
        <v>15</v>
      </c>
      <c r="L7" s="2735" t="s">
        <v>16</v>
      </c>
      <c r="M7" s="2729" t="s">
        <v>17</v>
      </c>
      <c r="N7" s="2731"/>
      <c r="O7" s="2735" t="s">
        <v>18</v>
      </c>
      <c r="P7" s="2735" t="s">
        <v>866</v>
      </c>
      <c r="Q7" s="2731" t="s">
        <v>9</v>
      </c>
      <c r="R7" s="2735" t="s">
        <v>20</v>
      </c>
      <c r="S7" s="2735" t="s">
        <v>21</v>
      </c>
      <c r="T7" s="2735" t="s">
        <v>22</v>
      </c>
      <c r="U7" s="2735" t="s">
        <v>23</v>
      </c>
      <c r="V7" s="2735" t="s">
        <v>24</v>
      </c>
      <c r="W7" s="2729" t="s">
        <v>21</v>
      </c>
      <c r="X7" s="2730"/>
      <c r="Y7" s="2731"/>
      <c r="Z7" s="3004" t="s">
        <v>11</v>
      </c>
      <c r="AA7" s="2735" t="s">
        <v>25</v>
      </c>
      <c r="AB7" s="2752" t="s">
        <v>26</v>
      </c>
      <c r="AC7" s="2753"/>
      <c r="AD7" s="2753"/>
      <c r="AE7" s="2753"/>
      <c r="AF7" s="2753"/>
      <c r="AG7" s="2753"/>
      <c r="AH7" s="2753"/>
      <c r="AI7" s="2753"/>
      <c r="AJ7" s="2753"/>
      <c r="AK7" s="2753"/>
      <c r="AL7" s="2753"/>
      <c r="AM7" s="2754"/>
      <c r="AN7" s="4064" t="s">
        <v>27</v>
      </c>
      <c r="AO7" s="4065"/>
      <c r="AP7" s="4065"/>
      <c r="AQ7" s="4065"/>
      <c r="AR7" s="4065"/>
      <c r="AS7" s="4065"/>
      <c r="AT7" s="4065"/>
      <c r="AU7" s="4065"/>
      <c r="AV7" s="4065"/>
      <c r="AW7" s="4065"/>
      <c r="AX7" s="4065"/>
      <c r="AY7" s="4066"/>
      <c r="AZ7" s="3009" t="s">
        <v>28</v>
      </c>
      <c r="BA7" s="3010"/>
      <c r="BB7" s="3010"/>
      <c r="BC7" s="3010"/>
      <c r="BD7" s="3010"/>
      <c r="BE7" s="3011"/>
      <c r="BF7" s="3012" t="s">
        <v>29</v>
      </c>
      <c r="BG7" s="3012"/>
      <c r="BH7" s="3012" t="s">
        <v>30</v>
      </c>
      <c r="BI7" s="3012"/>
      <c r="BJ7" s="2189" t="s">
        <v>31</v>
      </c>
    </row>
    <row r="8" spans="1:62" s="4" customFormat="1" ht="26.25" customHeight="1" x14ac:dyDescent="0.2">
      <c r="A8" s="2734"/>
      <c r="B8" s="2732"/>
      <c r="C8" s="2734"/>
      <c r="D8" s="2736"/>
      <c r="E8" s="2732"/>
      <c r="F8" s="2734"/>
      <c r="G8" s="2736"/>
      <c r="H8" s="2732"/>
      <c r="I8" s="2734"/>
      <c r="J8" s="2736"/>
      <c r="K8" s="4218"/>
      <c r="L8" s="2736"/>
      <c r="M8" s="2749"/>
      <c r="N8" s="2750"/>
      <c r="O8" s="2736"/>
      <c r="P8" s="2736"/>
      <c r="Q8" s="2734"/>
      <c r="R8" s="2736"/>
      <c r="S8" s="2736"/>
      <c r="T8" s="2736"/>
      <c r="U8" s="2736"/>
      <c r="V8" s="2736"/>
      <c r="W8" s="2749"/>
      <c r="X8" s="4061"/>
      <c r="Y8" s="2750"/>
      <c r="Z8" s="3005"/>
      <c r="AA8" s="2736"/>
      <c r="AB8" s="2989" t="s">
        <v>32</v>
      </c>
      <c r="AC8" s="2990"/>
      <c r="AD8" s="4062" t="s">
        <v>33</v>
      </c>
      <c r="AE8" s="4063"/>
      <c r="AF8" s="2729" t="s">
        <v>34</v>
      </c>
      <c r="AG8" s="2731"/>
      <c r="AH8" s="2729" t="s">
        <v>35</v>
      </c>
      <c r="AI8" s="2731"/>
      <c r="AJ8" s="2729" t="s">
        <v>36</v>
      </c>
      <c r="AK8" s="2731"/>
      <c r="AL8" s="2729" t="s">
        <v>37</v>
      </c>
      <c r="AM8" s="2731"/>
      <c r="AN8" s="2729" t="s">
        <v>38</v>
      </c>
      <c r="AO8" s="2731"/>
      <c r="AP8" s="2729" t="s">
        <v>39</v>
      </c>
      <c r="AQ8" s="2731"/>
      <c r="AR8" s="2729" t="s">
        <v>40</v>
      </c>
      <c r="AS8" s="2731"/>
      <c r="AT8" s="2729" t="s">
        <v>41</v>
      </c>
      <c r="AU8" s="2731"/>
      <c r="AV8" s="2729" t="s">
        <v>42</v>
      </c>
      <c r="AW8" s="2731"/>
      <c r="AX8" s="2748" t="s">
        <v>43</v>
      </c>
      <c r="AY8" s="2748"/>
      <c r="AZ8" s="4058" t="s">
        <v>44</v>
      </c>
      <c r="BA8" s="4059" t="s">
        <v>45</v>
      </c>
      <c r="BB8" s="4060" t="s">
        <v>46</v>
      </c>
      <c r="BC8" s="2728" t="s">
        <v>47</v>
      </c>
      <c r="BD8" s="2726" t="s">
        <v>48</v>
      </c>
      <c r="BE8" s="4070" t="s">
        <v>49</v>
      </c>
      <c r="BF8" s="3012"/>
      <c r="BG8" s="3012"/>
      <c r="BH8" s="3012"/>
      <c r="BI8" s="3012"/>
      <c r="BJ8" s="2190"/>
    </row>
    <row r="9" spans="1:62" s="4" customFormat="1" ht="18.75" customHeight="1" x14ac:dyDescent="0.2">
      <c r="A9" s="2734"/>
      <c r="B9" s="2732"/>
      <c r="C9" s="2734"/>
      <c r="D9" s="2736"/>
      <c r="E9" s="2732"/>
      <c r="F9" s="2734"/>
      <c r="G9" s="2736"/>
      <c r="H9" s="2732"/>
      <c r="I9" s="2734"/>
      <c r="J9" s="2736"/>
      <c r="K9" s="4218"/>
      <c r="L9" s="2736"/>
      <c r="M9" s="2735" t="s">
        <v>50</v>
      </c>
      <c r="N9" s="4067" t="s">
        <v>51</v>
      </c>
      <c r="O9" s="2736"/>
      <c r="P9" s="2736"/>
      <c r="Q9" s="2734"/>
      <c r="R9" s="2736"/>
      <c r="S9" s="2736"/>
      <c r="T9" s="2736"/>
      <c r="U9" s="2736"/>
      <c r="V9" s="2736"/>
      <c r="W9" s="2091" t="s">
        <v>52</v>
      </c>
      <c r="X9" s="86" t="s">
        <v>53</v>
      </c>
      <c r="Y9" s="86" t="s">
        <v>54</v>
      </c>
      <c r="Z9" s="3005"/>
      <c r="AA9" s="2736"/>
      <c r="AB9" s="2081" t="s">
        <v>121</v>
      </c>
      <c r="AC9" s="91" t="s">
        <v>51</v>
      </c>
      <c r="AD9" s="2081" t="s">
        <v>121</v>
      </c>
      <c r="AE9" s="91" t="s">
        <v>51</v>
      </c>
      <c r="AF9" s="2081" t="s">
        <v>121</v>
      </c>
      <c r="AG9" s="91" t="s">
        <v>51</v>
      </c>
      <c r="AH9" s="2081" t="s">
        <v>121</v>
      </c>
      <c r="AI9" s="91" t="s">
        <v>51</v>
      </c>
      <c r="AJ9" s="2081" t="s">
        <v>121</v>
      </c>
      <c r="AK9" s="91" t="s">
        <v>51</v>
      </c>
      <c r="AL9" s="2081" t="s">
        <v>121</v>
      </c>
      <c r="AM9" s="91" t="s">
        <v>51</v>
      </c>
      <c r="AN9" s="2081" t="s">
        <v>121</v>
      </c>
      <c r="AO9" s="91" t="s">
        <v>51</v>
      </c>
      <c r="AP9" s="2081" t="s">
        <v>121</v>
      </c>
      <c r="AQ9" s="91" t="s">
        <v>51</v>
      </c>
      <c r="AR9" s="2081" t="s">
        <v>121</v>
      </c>
      <c r="AS9" s="91" t="s">
        <v>51</v>
      </c>
      <c r="AT9" s="2081" t="s">
        <v>121</v>
      </c>
      <c r="AU9" s="91" t="s">
        <v>51</v>
      </c>
      <c r="AV9" s="2081" t="s">
        <v>121</v>
      </c>
      <c r="AW9" s="91" t="s">
        <v>51</v>
      </c>
      <c r="AX9" s="2081" t="s">
        <v>121</v>
      </c>
      <c r="AY9" s="91" t="s">
        <v>51</v>
      </c>
      <c r="AZ9" s="4058"/>
      <c r="BA9" s="4059"/>
      <c r="BB9" s="4060"/>
      <c r="BC9" s="4069"/>
      <c r="BD9" s="2726"/>
      <c r="BE9" s="4071"/>
      <c r="BF9" s="2188" t="s">
        <v>50</v>
      </c>
      <c r="BG9" s="116" t="s">
        <v>51</v>
      </c>
      <c r="BH9" s="2188" t="s">
        <v>50</v>
      </c>
      <c r="BI9" s="116" t="s">
        <v>51</v>
      </c>
      <c r="BJ9" s="2190"/>
    </row>
    <row r="10" spans="1:62" s="4" customFormat="1" ht="15" x14ac:dyDescent="0.2">
      <c r="A10" s="2089"/>
      <c r="B10" s="2088"/>
      <c r="C10" s="2089"/>
      <c r="D10" s="2089"/>
      <c r="E10" s="2088"/>
      <c r="F10" s="2089"/>
      <c r="G10" s="2089"/>
      <c r="H10" s="2088"/>
      <c r="I10" s="2089"/>
      <c r="J10" s="2089"/>
      <c r="K10" s="1340"/>
      <c r="L10" s="2092"/>
      <c r="M10" s="2737"/>
      <c r="N10" s="4068"/>
      <c r="O10" s="2092"/>
      <c r="P10" s="2737"/>
      <c r="Q10" s="2560"/>
      <c r="R10" s="2088"/>
      <c r="S10" s="2088"/>
      <c r="T10" s="1340"/>
      <c r="U10" s="1340"/>
      <c r="V10" s="2560"/>
      <c r="W10" s="2092"/>
      <c r="X10" s="2374"/>
      <c r="Y10" s="2374"/>
      <c r="Z10" s="2191"/>
      <c r="AA10" s="2092"/>
      <c r="AB10" s="507"/>
      <c r="AC10" s="508"/>
      <c r="AD10" s="507"/>
      <c r="AE10" s="1341"/>
      <c r="AF10" s="1342"/>
      <c r="AG10" s="508"/>
      <c r="AH10" s="507"/>
      <c r="AI10" s="508"/>
      <c r="AJ10" s="507"/>
      <c r="AK10" s="508"/>
      <c r="AL10" s="507"/>
      <c r="AM10" s="508"/>
      <c r="AN10" s="507"/>
      <c r="AO10" s="508"/>
      <c r="AP10" s="507"/>
      <c r="AQ10" s="508"/>
      <c r="AR10" s="507"/>
      <c r="AS10" s="508"/>
      <c r="AT10" s="507"/>
      <c r="AU10" s="508"/>
      <c r="AV10" s="507"/>
      <c r="AW10" s="508"/>
      <c r="AX10" s="507"/>
      <c r="AY10" s="508"/>
      <c r="AZ10" s="1343"/>
      <c r="BA10" s="1480"/>
      <c r="BB10" s="1481"/>
      <c r="BC10" s="507"/>
      <c r="BD10" s="507"/>
      <c r="BE10" s="1343"/>
      <c r="BF10" s="2082"/>
      <c r="BG10" s="1344"/>
      <c r="BH10" s="2082"/>
      <c r="BI10" s="1344"/>
      <c r="BJ10" s="2191"/>
    </row>
    <row r="11" spans="1:62" s="2" customFormat="1" ht="25.5" customHeight="1" x14ac:dyDescent="0.2">
      <c r="A11" s="1463">
        <v>1</v>
      </c>
      <c r="B11" s="60" t="s">
        <v>397</v>
      </c>
      <c r="C11" s="636"/>
      <c r="D11" s="44"/>
      <c r="E11" s="44"/>
      <c r="F11" s="44"/>
      <c r="G11" s="44"/>
      <c r="H11" s="44"/>
      <c r="I11" s="44"/>
      <c r="J11" s="44">
        <v>43</v>
      </c>
      <c r="K11" s="45"/>
      <c r="L11" s="44"/>
      <c r="M11" s="44"/>
      <c r="N11" s="272"/>
      <c r="O11" s="44"/>
      <c r="P11" s="44"/>
      <c r="Q11" s="45"/>
      <c r="R11" s="44"/>
      <c r="S11" s="46"/>
      <c r="T11" s="45"/>
      <c r="U11" s="45"/>
      <c r="V11" s="45"/>
      <c r="W11" s="46"/>
      <c r="X11" s="909"/>
      <c r="Y11" s="909"/>
      <c r="Z11" s="1345"/>
      <c r="AA11" s="46"/>
      <c r="AB11" s="44"/>
      <c r="AC11" s="272"/>
      <c r="AD11" s="44"/>
      <c r="AE11" s="272"/>
      <c r="AF11" s="44"/>
      <c r="AG11" s="272"/>
      <c r="AH11" s="44"/>
      <c r="AI11" s="272"/>
      <c r="AJ11" s="44"/>
      <c r="AK11" s="272"/>
      <c r="AL11" s="44"/>
      <c r="AM11" s="272"/>
      <c r="AN11" s="44"/>
      <c r="AO11" s="272"/>
      <c r="AP11" s="44"/>
      <c r="AQ11" s="272"/>
      <c r="AR11" s="44"/>
      <c r="AS11" s="272"/>
      <c r="AT11" s="44"/>
      <c r="AU11" s="272"/>
      <c r="AV11" s="44"/>
      <c r="AW11" s="272"/>
      <c r="AX11" s="44"/>
      <c r="AY11" s="272"/>
      <c r="AZ11" s="270"/>
      <c r="BA11" s="1482"/>
      <c r="BB11" s="1483"/>
      <c r="BC11" s="44"/>
      <c r="BD11" s="44"/>
      <c r="BE11" s="270"/>
      <c r="BF11" s="46"/>
      <c r="BG11" s="909"/>
      <c r="BH11" s="46"/>
      <c r="BI11" s="909"/>
      <c r="BJ11" s="56"/>
    </row>
    <row r="12" spans="1:62" s="2" customFormat="1" ht="24" customHeight="1" x14ac:dyDescent="0.2">
      <c r="A12" s="1064"/>
      <c r="B12" s="1455"/>
      <c r="C12" s="1456"/>
      <c r="D12" s="456">
        <v>1</v>
      </c>
      <c r="E12" s="456" t="s">
        <v>1032</v>
      </c>
      <c r="F12" s="456"/>
      <c r="G12" s="47"/>
      <c r="H12" s="47"/>
      <c r="I12" s="47"/>
      <c r="J12" s="47"/>
      <c r="K12" s="48"/>
      <c r="L12" s="47"/>
      <c r="M12" s="47"/>
      <c r="N12" s="157"/>
      <c r="O12" s="47"/>
      <c r="P12" s="47"/>
      <c r="Q12" s="48"/>
      <c r="R12" s="47"/>
      <c r="S12" s="49"/>
      <c r="T12" s="48"/>
      <c r="U12" s="48"/>
      <c r="V12" s="48"/>
      <c r="W12" s="49"/>
      <c r="X12" s="641"/>
      <c r="Y12" s="641"/>
      <c r="Z12" s="642"/>
      <c r="AA12" s="49"/>
      <c r="AB12" s="47"/>
      <c r="AC12" s="157"/>
      <c r="AD12" s="47"/>
      <c r="AE12" s="157"/>
      <c r="AF12" s="47"/>
      <c r="AG12" s="157"/>
      <c r="AH12" s="47"/>
      <c r="AI12" s="157"/>
      <c r="AJ12" s="47"/>
      <c r="AK12" s="157"/>
      <c r="AL12" s="47"/>
      <c r="AM12" s="157"/>
      <c r="AN12" s="47"/>
      <c r="AO12" s="157"/>
      <c r="AP12" s="47"/>
      <c r="AQ12" s="157"/>
      <c r="AR12" s="47"/>
      <c r="AS12" s="157"/>
      <c r="AT12" s="47"/>
      <c r="AU12" s="157"/>
      <c r="AV12" s="47"/>
      <c r="AW12" s="157"/>
      <c r="AX12" s="47"/>
      <c r="AY12" s="157"/>
      <c r="AZ12" s="128"/>
      <c r="BA12" s="1484"/>
      <c r="BB12" s="1485"/>
      <c r="BC12" s="47"/>
      <c r="BD12" s="47"/>
      <c r="BE12" s="128"/>
      <c r="BF12" s="49"/>
      <c r="BG12" s="641"/>
      <c r="BH12" s="49"/>
      <c r="BI12" s="641"/>
      <c r="BJ12" s="59"/>
    </row>
    <row r="13" spans="1:62" s="2" customFormat="1" ht="30" customHeight="1" thickBot="1" x14ac:dyDescent="0.25">
      <c r="A13" s="948"/>
      <c r="B13" s="454"/>
      <c r="C13" s="454"/>
      <c r="D13" s="1064"/>
      <c r="E13" s="950"/>
      <c r="F13" s="951"/>
      <c r="G13" s="1464">
        <v>1</v>
      </c>
      <c r="H13" s="657" t="s">
        <v>1033</v>
      </c>
      <c r="I13" s="657"/>
      <c r="J13" s="1430"/>
      <c r="K13" s="4908"/>
      <c r="L13" s="51"/>
      <c r="M13" s="51"/>
      <c r="N13" s="893"/>
      <c r="O13" s="51"/>
      <c r="P13" s="51"/>
      <c r="Q13" s="52"/>
      <c r="R13" s="51"/>
      <c r="S13" s="53"/>
      <c r="T13" s="52"/>
      <c r="U13" s="52"/>
      <c r="V13" s="52"/>
      <c r="W13" s="53"/>
      <c r="X13" s="1042"/>
      <c r="Y13" s="1042"/>
      <c r="Z13" s="1346"/>
      <c r="AA13" s="53"/>
      <c r="AB13" s="51"/>
      <c r="AC13" s="893"/>
      <c r="AD13" s="51"/>
      <c r="AE13" s="893"/>
      <c r="AF13" s="51"/>
      <c r="AG13" s="893"/>
      <c r="AH13" s="51"/>
      <c r="AI13" s="893"/>
      <c r="AJ13" s="51"/>
      <c r="AK13" s="893"/>
      <c r="AL13" s="51"/>
      <c r="AM13" s="893"/>
      <c r="AN13" s="51"/>
      <c r="AO13" s="893"/>
      <c r="AP13" s="51"/>
      <c r="AQ13" s="893"/>
      <c r="AR13" s="51"/>
      <c r="AS13" s="893"/>
      <c r="AT13" s="51"/>
      <c r="AU13" s="893"/>
      <c r="AV13" s="51"/>
      <c r="AW13" s="893"/>
      <c r="AX13" s="51"/>
      <c r="AY13" s="893"/>
      <c r="AZ13" s="1347"/>
      <c r="BA13" s="1486"/>
      <c r="BB13" s="1487"/>
      <c r="BC13" s="51"/>
      <c r="BD13" s="51"/>
      <c r="BE13" s="1347"/>
      <c r="BF13" s="53"/>
      <c r="BG13" s="1042"/>
      <c r="BH13" s="53"/>
      <c r="BI13" s="1042"/>
      <c r="BJ13" s="64"/>
    </row>
    <row r="14" spans="1:62" ht="71.25" customHeight="1" x14ac:dyDescent="0.2">
      <c r="A14" s="948"/>
      <c r="B14" s="454"/>
      <c r="C14" s="454"/>
      <c r="D14" s="948"/>
      <c r="E14" s="454"/>
      <c r="F14" s="949"/>
      <c r="G14" s="454"/>
      <c r="H14" s="454"/>
      <c r="I14" s="454"/>
      <c r="J14" s="2378">
        <v>1</v>
      </c>
      <c r="K14" s="2574" t="s">
        <v>1034</v>
      </c>
      <c r="L14" s="2107" t="s">
        <v>19</v>
      </c>
      <c r="M14" s="2378">
        <v>1</v>
      </c>
      <c r="N14" s="1891">
        <v>0.7</v>
      </c>
      <c r="O14" s="2707" t="s">
        <v>1035</v>
      </c>
      <c r="P14" s="2707">
        <v>64</v>
      </c>
      <c r="Q14" s="3054" t="s">
        <v>1036</v>
      </c>
      <c r="R14" s="431">
        <f>W14/$S$14</f>
        <v>0.42857142857142855</v>
      </c>
      <c r="S14" s="3986">
        <v>70000000</v>
      </c>
      <c r="T14" s="3054" t="s">
        <v>1037</v>
      </c>
      <c r="U14" s="1349" t="s">
        <v>1038</v>
      </c>
      <c r="V14" s="1350" t="s">
        <v>1039</v>
      </c>
      <c r="W14" s="1351">
        <v>30000000</v>
      </c>
      <c r="X14" s="1476">
        <v>19550000</v>
      </c>
      <c r="Y14" s="563">
        <v>19550000</v>
      </c>
      <c r="Z14" s="1352">
        <v>20</v>
      </c>
      <c r="AA14" s="2107" t="s">
        <v>66</v>
      </c>
      <c r="AB14" s="4047">
        <v>7824</v>
      </c>
      <c r="AC14" s="4044"/>
      <c r="AD14" s="4047" t="s">
        <v>1040</v>
      </c>
      <c r="AE14" s="4044"/>
      <c r="AF14" s="4047">
        <v>3361</v>
      </c>
      <c r="AG14" s="4044"/>
      <c r="AH14" s="4050">
        <v>39432</v>
      </c>
      <c r="AI14" s="4044">
        <v>39432</v>
      </c>
      <c r="AJ14" s="4047"/>
      <c r="AK14" s="1540"/>
      <c r="AL14" s="4047">
        <v>9933</v>
      </c>
      <c r="AM14" s="4044"/>
      <c r="AN14" s="4047"/>
      <c r="AO14" s="4032"/>
      <c r="AP14" s="4029"/>
      <c r="AQ14" s="4032"/>
      <c r="AR14" s="4029"/>
      <c r="AS14" s="4032"/>
      <c r="AT14" s="4029"/>
      <c r="AU14" s="4032"/>
      <c r="AV14" s="4029"/>
      <c r="AW14" s="4032"/>
      <c r="AX14" s="4029"/>
      <c r="AY14" s="3982"/>
      <c r="AZ14" s="4054">
        <v>6</v>
      </c>
      <c r="BA14" s="4037">
        <v>41730000</v>
      </c>
      <c r="BB14" s="4026">
        <v>41730000</v>
      </c>
      <c r="BC14" s="3098">
        <f>BB14/BA14</f>
        <v>1</v>
      </c>
      <c r="BD14" s="2707">
        <v>20</v>
      </c>
      <c r="BE14" s="1504"/>
      <c r="BF14" s="3080">
        <v>42653</v>
      </c>
      <c r="BG14" s="2687">
        <v>42684</v>
      </c>
      <c r="BH14" s="3080">
        <v>42724</v>
      </c>
      <c r="BI14" s="2687">
        <v>42724</v>
      </c>
      <c r="BJ14" s="3104" t="s">
        <v>1041</v>
      </c>
    </row>
    <row r="15" spans="1:62" ht="75" customHeight="1" x14ac:dyDescent="0.2">
      <c r="A15" s="948"/>
      <c r="B15" s="454"/>
      <c r="C15" s="454"/>
      <c r="D15" s="948"/>
      <c r="E15" s="454"/>
      <c r="F15" s="949"/>
      <c r="G15" s="454"/>
      <c r="H15" s="454"/>
      <c r="I15" s="454"/>
      <c r="J15" s="2378">
        <v>2</v>
      </c>
      <c r="K15" s="2574" t="s">
        <v>1042</v>
      </c>
      <c r="L15" s="2116" t="s">
        <v>19</v>
      </c>
      <c r="M15" s="2135">
        <v>4</v>
      </c>
      <c r="N15" s="537">
        <v>2</v>
      </c>
      <c r="O15" s="2708"/>
      <c r="P15" s="2708"/>
      <c r="Q15" s="3055"/>
      <c r="R15" s="431">
        <f>W15/$S$14</f>
        <v>0.14285714285714285</v>
      </c>
      <c r="S15" s="3987"/>
      <c r="T15" s="3055"/>
      <c r="U15" s="1349" t="s">
        <v>1043</v>
      </c>
      <c r="V15" s="1350" t="s">
        <v>1044</v>
      </c>
      <c r="W15" s="1351">
        <v>10000000</v>
      </c>
      <c r="X15" s="1476">
        <v>2415000</v>
      </c>
      <c r="Y15" s="563">
        <v>2415000</v>
      </c>
      <c r="Z15" s="1352">
        <v>20</v>
      </c>
      <c r="AA15" s="2116" t="s">
        <v>66</v>
      </c>
      <c r="AB15" s="4048"/>
      <c r="AC15" s="4045"/>
      <c r="AD15" s="4048"/>
      <c r="AE15" s="4045"/>
      <c r="AF15" s="4048"/>
      <c r="AG15" s="4045"/>
      <c r="AH15" s="4051"/>
      <c r="AI15" s="4045"/>
      <c r="AJ15" s="4048"/>
      <c r="AK15" s="1541"/>
      <c r="AL15" s="4048"/>
      <c r="AM15" s="4045"/>
      <c r="AN15" s="4048"/>
      <c r="AO15" s="4033"/>
      <c r="AP15" s="4030"/>
      <c r="AQ15" s="4033"/>
      <c r="AR15" s="4030"/>
      <c r="AS15" s="4033"/>
      <c r="AT15" s="4030"/>
      <c r="AU15" s="4033"/>
      <c r="AV15" s="4030"/>
      <c r="AW15" s="4033"/>
      <c r="AX15" s="4030"/>
      <c r="AY15" s="3983"/>
      <c r="AZ15" s="4055"/>
      <c r="BA15" s="4038"/>
      <c r="BB15" s="4027"/>
      <c r="BC15" s="3234"/>
      <c r="BD15" s="2708"/>
      <c r="BE15" s="1353"/>
      <c r="BF15" s="3081"/>
      <c r="BG15" s="2688"/>
      <c r="BH15" s="3081"/>
      <c r="BI15" s="2688"/>
      <c r="BJ15" s="3988"/>
    </row>
    <row r="16" spans="1:62" ht="103.5" customHeight="1" x14ac:dyDescent="0.2">
      <c r="A16" s="948"/>
      <c r="B16" s="454"/>
      <c r="C16" s="454"/>
      <c r="D16" s="948"/>
      <c r="E16" s="454"/>
      <c r="F16" s="949"/>
      <c r="G16" s="454"/>
      <c r="H16" s="454"/>
      <c r="I16" s="454"/>
      <c r="J16" s="2378">
        <v>3</v>
      </c>
      <c r="K16" s="2574" t="s">
        <v>1045</v>
      </c>
      <c r="L16" s="2116" t="s">
        <v>19</v>
      </c>
      <c r="M16" s="2135">
        <v>1</v>
      </c>
      <c r="N16" s="537" t="s">
        <v>1046</v>
      </c>
      <c r="O16" s="2708"/>
      <c r="P16" s="2708"/>
      <c r="Q16" s="3055"/>
      <c r="R16" s="431">
        <f>W16/$S$14</f>
        <v>0.21428571428571427</v>
      </c>
      <c r="S16" s="3987"/>
      <c r="T16" s="3055"/>
      <c r="U16" s="1349" t="s">
        <v>1047</v>
      </c>
      <c r="V16" s="1350" t="s">
        <v>1048</v>
      </c>
      <c r="W16" s="1351">
        <v>15000000</v>
      </c>
      <c r="X16" s="1476">
        <v>13850000</v>
      </c>
      <c r="Y16" s="563">
        <v>13850000</v>
      </c>
      <c r="Z16" s="1352">
        <v>20</v>
      </c>
      <c r="AA16" s="2116" t="s">
        <v>66</v>
      </c>
      <c r="AB16" s="4048"/>
      <c r="AC16" s="4045"/>
      <c r="AD16" s="4048"/>
      <c r="AE16" s="4045"/>
      <c r="AF16" s="4048"/>
      <c r="AG16" s="4045"/>
      <c r="AH16" s="4051"/>
      <c r="AI16" s="4045"/>
      <c r="AJ16" s="4048"/>
      <c r="AK16" s="1541"/>
      <c r="AL16" s="4048"/>
      <c r="AM16" s="4045"/>
      <c r="AN16" s="4048"/>
      <c r="AO16" s="4033"/>
      <c r="AP16" s="4030"/>
      <c r="AQ16" s="4033"/>
      <c r="AR16" s="4030"/>
      <c r="AS16" s="4033"/>
      <c r="AT16" s="4030"/>
      <c r="AU16" s="4033"/>
      <c r="AV16" s="4030"/>
      <c r="AW16" s="4033"/>
      <c r="AX16" s="4030"/>
      <c r="AY16" s="3983"/>
      <c r="AZ16" s="4055"/>
      <c r="BA16" s="4038"/>
      <c r="BB16" s="4027"/>
      <c r="BC16" s="3234"/>
      <c r="BD16" s="2708"/>
      <c r="BE16" s="2120" t="s">
        <v>1049</v>
      </c>
      <c r="BF16" s="3081"/>
      <c r="BG16" s="2688"/>
      <c r="BH16" s="3081"/>
      <c r="BI16" s="2688"/>
      <c r="BJ16" s="3988"/>
    </row>
    <row r="17" spans="1:62" s="4" customFormat="1" ht="104.25" customHeight="1" thickBot="1" x14ac:dyDescent="0.25">
      <c r="A17" s="948"/>
      <c r="B17" s="454"/>
      <c r="C17" s="454"/>
      <c r="D17" s="948"/>
      <c r="E17" s="454"/>
      <c r="F17" s="949"/>
      <c r="G17" s="454"/>
      <c r="H17" s="454"/>
      <c r="I17" s="454"/>
      <c r="J17" s="2378">
        <v>6</v>
      </c>
      <c r="K17" s="2574" t="s">
        <v>1050</v>
      </c>
      <c r="L17" s="2116" t="s">
        <v>19</v>
      </c>
      <c r="M17" s="2135">
        <v>12</v>
      </c>
      <c r="N17" s="2175">
        <v>2</v>
      </c>
      <c r="O17" s="2709"/>
      <c r="P17" s="2709"/>
      <c r="Q17" s="3056"/>
      <c r="R17" s="431">
        <f>W17/$S$14</f>
        <v>0.21428571428571427</v>
      </c>
      <c r="S17" s="4057"/>
      <c r="T17" s="3056"/>
      <c r="U17" s="1349" t="s">
        <v>1051</v>
      </c>
      <c r="V17" s="1350" t="s">
        <v>1052</v>
      </c>
      <c r="W17" s="1351">
        <v>15000000</v>
      </c>
      <c r="X17" s="1476">
        <v>5915000</v>
      </c>
      <c r="Y17" s="563">
        <v>5915000</v>
      </c>
      <c r="Z17" s="1352">
        <v>20</v>
      </c>
      <c r="AA17" s="2107" t="s">
        <v>66</v>
      </c>
      <c r="AB17" s="4049"/>
      <c r="AC17" s="4046"/>
      <c r="AD17" s="4049"/>
      <c r="AE17" s="4046"/>
      <c r="AF17" s="4049"/>
      <c r="AG17" s="4046"/>
      <c r="AH17" s="4052"/>
      <c r="AI17" s="4046"/>
      <c r="AJ17" s="4049"/>
      <c r="AK17" s="1542"/>
      <c r="AL17" s="4049"/>
      <c r="AM17" s="4046"/>
      <c r="AN17" s="4049"/>
      <c r="AO17" s="4034"/>
      <c r="AP17" s="4031"/>
      <c r="AQ17" s="4034"/>
      <c r="AR17" s="4031"/>
      <c r="AS17" s="4034"/>
      <c r="AT17" s="4031"/>
      <c r="AU17" s="4034"/>
      <c r="AV17" s="4031"/>
      <c r="AW17" s="4034"/>
      <c r="AX17" s="4031"/>
      <c r="AY17" s="4053"/>
      <c r="AZ17" s="4056"/>
      <c r="BA17" s="4039"/>
      <c r="BB17" s="4028"/>
      <c r="BC17" s="3099"/>
      <c r="BD17" s="2709"/>
      <c r="BE17" s="1505"/>
      <c r="BF17" s="3082"/>
      <c r="BG17" s="2689"/>
      <c r="BH17" s="3082"/>
      <c r="BI17" s="2689"/>
      <c r="BJ17" s="3105"/>
    </row>
    <row r="18" spans="1:62" s="4" customFormat="1" ht="150" customHeight="1" thickTop="1" x14ac:dyDescent="0.2">
      <c r="A18" s="2477"/>
      <c r="B18" s="2565"/>
      <c r="C18" s="2565"/>
      <c r="D18" s="2477"/>
      <c r="E18" s="2565"/>
      <c r="F18" s="2478"/>
      <c r="G18" s="2565"/>
      <c r="H18" s="2565"/>
      <c r="I18" s="2565"/>
      <c r="J18" s="2378">
        <v>5</v>
      </c>
      <c r="K18" s="2568" t="s">
        <v>1053</v>
      </c>
      <c r="L18" s="2107" t="s">
        <v>19</v>
      </c>
      <c r="M18" s="2135">
        <v>1</v>
      </c>
      <c r="N18" s="537">
        <v>1</v>
      </c>
      <c r="O18" s="2107" t="s">
        <v>1054</v>
      </c>
      <c r="P18" s="2107">
        <v>65</v>
      </c>
      <c r="Q18" s="2386" t="s">
        <v>1055</v>
      </c>
      <c r="R18" s="431">
        <v>1</v>
      </c>
      <c r="S18" s="1355">
        <v>5000000</v>
      </c>
      <c r="T18" s="2452" t="s">
        <v>1056</v>
      </c>
      <c r="U18" s="2386" t="s">
        <v>1057</v>
      </c>
      <c r="V18" s="2386" t="s">
        <v>1058</v>
      </c>
      <c r="W18" s="1355">
        <v>5000000</v>
      </c>
      <c r="X18" s="1476">
        <v>5000000</v>
      </c>
      <c r="Y18" s="563">
        <v>5000000</v>
      </c>
      <c r="Z18" s="1352">
        <v>20</v>
      </c>
      <c r="AA18" s="2107" t="s">
        <v>66</v>
      </c>
      <c r="AB18" s="1356"/>
      <c r="AC18" s="1357"/>
      <c r="AD18" s="1356"/>
      <c r="AE18" s="1357"/>
      <c r="AF18" s="1356"/>
      <c r="AG18" s="1357"/>
      <c r="AH18" s="1356"/>
      <c r="AI18" s="1357"/>
      <c r="AJ18" s="1356">
        <v>174</v>
      </c>
      <c r="AK18" s="1357">
        <v>174</v>
      </c>
      <c r="AL18" s="1356">
        <v>24</v>
      </c>
      <c r="AM18" s="1357">
        <v>24</v>
      </c>
      <c r="AN18" s="1356"/>
      <c r="AO18" s="1543"/>
      <c r="AP18" s="1544"/>
      <c r="AQ18" s="1543"/>
      <c r="AR18" s="1544"/>
      <c r="AS18" s="1543"/>
      <c r="AT18" s="1544"/>
      <c r="AU18" s="1543"/>
      <c r="AV18" s="1544"/>
      <c r="AW18" s="1543"/>
      <c r="AX18" s="1544"/>
      <c r="AY18" s="1358"/>
      <c r="AZ18" s="2115">
        <v>1</v>
      </c>
      <c r="BA18" s="1488">
        <v>5000000</v>
      </c>
      <c r="BB18" s="1489">
        <v>5000000</v>
      </c>
      <c r="BC18" s="1359">
        <f>+X18/W18</f>
        <v>1</v>
      </c>
      <c r="BD18" s="2107">
        <v>20</v>
      </c>
      <c r="BE18" s="1360" t="s">
        <v>1049</v>
      </c>
      <c r="BF18" s="2510">
        <v>42653</v>
      </c>
      <c r="BG18" s="1361">
        <v>42653</v>
      </c>
      <c r="BH18" s="1361">
        <v>42724</v>
      </c>
      <c r="BI18" s="1361">
        <v>42724</v>
      </c>
      <c r="BJ18" s="2499" t="s">
        <v>1041</v>
      </c>
    </row>
    <row r="19" spans="1:62" s="4" customFormat="1" ht="302.25" customHeight="1" x14ac:dyDescent="0.2">
      <c r="A19" s="2477"/>
      <c r="B19" s="2565"/>
      <c r="C19" s="2565"/>
      <c r="D19" s="2477"/>
      <c r="E19" s="2565"/>
      <c r="F19" s="2478"/>
      <c r="G19" s="454"/>
      <c r="H19" s="454"/>
      <c r="I19" s="454"/>
      <c r="J19" s="2378">
        <v>5</v>
      </c>
      <c r="K19" s="2568" t="s">
        <v>1053</v>
      </c>
      <c r="L19" s="2107" t="s">
        <v>19</v>
      </c>
      <c r="M19" s="2135">
        <v>1</v>
      </c>
      <c r="N19" s="537">
        <v>1</v>
      </c>
      <c r="O19" s="2107" t="s">
        <v>1059</v>
      </c>
      <c r="P19" s="2107">
        <v>66</v>
      </c>
      <c r="Q19" s="2386" t="s">
        <v>1060</v>
      </c>
      <c r="R19" s="431">
        <v>1</v>
      </c>
      <c r="S19" s="1362">
        <v>5000000</v>
      </c>
      <c r="T19" s="2452" t="s">
        <v>1061</v>
      </c>
      <c r="U19" s="2386" t="s">
        <v>1062</v>
      </c>
      <c r="V19" s="2386" t="s">
        <v>1063</v>
      </c>
      <c r="W19" s="1355">
        <v>5000000</v>
      </c>
      <c r="X19" s="1476">
        <v>5000000</v>
      </c>
      <c r="Y19" s="563">
        <v>5000000</v>
      </c>
      <c r="Z19" s="1352">
        <v>20</v>
      </c>
      <c r="AA19" s="2107" t="s">
        <v>66</v>
      </c>
      <c r="AB19" s="1545">
        <v>2532</v>
      </c>
      <c r="AC19" s="1357">
        <v>2532</v>
      </c>
      <c r="AD19" s="1545">
        <v>6725</v>
      </c>
      <c r="AE19" s="1357">
        <v>6725.1241697191253</v>
      </c>
      <c r="AF19" s="1545">
        <v>3465</v>
      </c>
      <c r="AG19" s="1357">
        <v>3465.4172489727184</v>
      </c>
      <c r="AH19" s="1545">
        <v>39432</v>
      </c>
      <c r="AI19" s="1357">
        <v>20633</v>
      </c>
      <c r="AJ19" s="1545"/>
      <c r="AK19" s="1357"/>
      <c r="AL19" s="1545">
        <v>4899</v>
      </c>
      <c r="AM19" s="1357">
        <v>4899.2643477572519</v>
      </c>
      <c r="AN19" s="1356"/>
      <c r="AO19" s="1543"/>
      <c r="AP19" s="1544"/>
      <c r="AQ19" s="1543"/>
      <c r="AR19" s="1544"/>
      <c r="AS19" s="1543"/>
      <c r="AT19" s="1544"/>
      <c r="AU19" s="1543"/>
      <c r="AV19" s="1544"/>
      <c r="AW19" s="1543"/>
      <c r="AX19" s="1544"/>
      <c r="AY19" s="1358"/>
      <c r="AZ19" s="2115">
        <v>1</v>
      </c>
      <c r="BA19" s="1488">
        <v>5000000</v>
      </c>
      <c r="BB19" s="1489">
        <v>5000000</v>
      </c>
      <c r="BC19" s="1359">
        <f>+X19/W19</f>
        <v>1</v>
      </c>
      <c r="BD19" s="2107">
        <v>20</v>
      </c>
      <c r="BE19" s="1360" t="s">
        <v>1049</v>
      </c>
      <c r="BF19" s="2510">
        <v>42653</v>
      </c>
      <c r="BG19" s="1361">
        <v>42653</v>
      </c>
      <c r="BH19" s="2510">
        <v>42724</v>
      </c>
      <c r="BI19" s="1361">
        <v>42724</v>
      </c>
      <c r="BJ19" s="2499" t="s">
        <v>1041</v>
      </c>
    </row>
    <row r="20" spans="1:62" s="4" customFormat="1" ht="40.9" customHeight="1" x14ac:dyDescent="0.2">
      <c r="A20" s="948"/>
      <c r="B20" s="454"/>
      <c r="C20" s="454"/>
      <c r="D20" s="948"/>
      <c r="E20" s="454"/>
      <c r="F20" s="949"/>
      <c r="G20" s="1464">
        <v>2</v>
      </c>
      <c r="H20" s="657" t="s">
        <v>1064</v>
      </c>
      <c r="I20" s="525"/>
      <c r="J20" s="1363"/>
      <c r="K20" s="1364"/>
      <c r="L20" s="1057"/>
      <c r="M20" s="1057"/>
      <c r="N20" s="1365"/>
      <c r="O20" s="1366"/>
      <c r="P20" s="1366"/>
      <c r="Q20" s="1058"/>
      <c r="R20" s="1057"/>
      <c r="S20" s="1059"/>
      <c r="T20" s="1058"/>
      <c r="U20" s="1058"/>
      <c r="V20" s="1058"/>
      <c r="W20" s="1059"/>
      <c r="X20" s="1060"/>
      <c r="Y20" s="1060"/>
      <c r="Z20" s="1367"/>
      <c r="AA20" s="1057"/>
      <c r="AB20" s="1057"/>
      <c r="AC20" s="1365"/>
      <c r="AD20" s="1057"/>
      <c r="AE20" s="1365"/>
      <c r="AF20" s="1057"/>
      <c r="AG20" s="1365"/>
      <c r="AH20" s="1057"/>
      <c r="AI20" s="1365"/>
      <c r="AJ20" s="1057"/>
      <c r="AK20" s="1365"/>
      <c r="AL20" s="1057"/>
      <c r="AM20" s="1365"/>
      <c r="AN20" s="1057"/>
      <c r="AO20" s="1365"/>
      <c r="AP20" s="1057"/>
      <c r="AQ20" s="1365"/>
      <c r="AR20" s="1057"/>
      <c r="AS20" s="1365"/>
      <c r="AT20" s="1057"/>
      <c r="AU20" s="1365"/>
      <c r="AV20" s="1057"/>
      <c r="AW20" s="1365"/>
      <c r="AX20" s="1057"/>
      <c r="AY20" s="1365"/>
      <c r="AZ20" s="1368"/>
      <c r="BA20" s="1490"/>
      <c r="BB20" s="1491"/>
      <c r="BC20" s="1057"/>
      <c r="BD20" s="1057"/>
      <c r="BE20" s="1368"/>
      <c r="BF20" s="1057"/>
      <c r="BG20" s="1365"/>
      <c r="BH20" s="1057"/>
      <c r="BI20" s="1365"/>
      <c r="BJ20" s="1369"/>
    </row>
    <row r="21" spans="1:62" s="4" customFormat="1" ht="146.25" customHeight="1" x14ac:dyDescent="0.2">
      <c r="A21" s="948"/>
      <c r="B21" s="454"/>
      <c r="C21" s="454"/>
      <c r="D21" s="948"/>
      <c r="E21" s="454"/>
      <c r="F21" s="949"/>
      <c r="G21" s="454"/>
      <c r="H21" s="454"/>
      <c r="I21" s="454"/>
      <c r="J21" s="2378">
        <v>8</v>
      </c>
      <c r="K21" s="1348" t="s">
        <v>1065</v>
      </c>
      <c r="L21" s="2116" t="s">
        <v>19</v>
      </c>
      <c r="M21" s="2506">
        <v>2</v>
      </c>
      <c r="N21" s="2175">
        <v>2</v>
      </c>
      <c r="O21" s="2708" t="s">
        <v>1066</v>
      </c>
      <c r="P21" s="2707">
        <v>67</v>
      </c>
      <c r="Q21" s="3055" t="s">
        <v>1067</v>
      </c>
      <c r="R21" s="1370">
        <f>W21/(S21+S22)</f>
        <v>0.79166666666666663</v>
      </c>
      <c r="S21" s="1371">
        <v>47500000</v>
      </c>
      <c r="T21" s="3055" t="s">
        <v>1068</v>
      </c>
      <c r="U21" s="1372" t="s">
        <v>1069</v>
      </c>
      <c r="V21" s="2200" t="s">
        <v>1070</v>
      </c>
      <c r="W21" s="1371">
        <v>47500000</v>
      </c>
      <c r="X21" s="1476">
        <v>18353333</v>
      </c>
      <c r="Y21" s="1476">
        <v>18353333</v>
      </c>
      <c r="Z21" s="1352">
        <v>20</v>
      </c>
      <c r="AA21" s="2106" t="s">
        <v>66</v>
      </c>
      <c r="AB21" s="4022">
        <v>48934</v>
      </c>
      <c r="AC21" s="4023"/>
      <c r="AD21" s="4022">
        <v>48962</v>
      </c>
      <c r="AE21" s="4025"/>
      <c r="AF21" s="4022">
        <v>53351</v>
      </c>
      <c r="AG21" s="4040"/>
      <c r="AH21" s="4041">
        <v>58000</v>
      </c>
      <c r="AI21" s="4040"/>
      <c r="AJ21" s="4041">
        <v>82316</v>
      </c>
      <c r="AK21" s="4040"/>
      <c r="AL21" s="4022">
        <v>30825</v>
      </c>
      <c r="AM21" s="4025"/>
      <c r="AN21" s="4042"/>
      <c r="AO21" s="4014"/>
      <c r="AP21" s="4012"/>
      <c r="AQ21" s="4014"/>
      <c r="AR21" s="4012"/>
      <c r="AS21" s="4014"/>
      <c r="AT21" s="4012"/>
      <c r="AU21" s="4014"/>
      <c r="AV21" s="4012"/>
      <c r="AW21" s="4014"/>
      <c r="AX21" s="4012"/>
      <c r="AY21" s="4014"/>
      <c r="AZ21" s="4016">
        <v>6</v>
      </c>
      <c r="BA21" s="4018">
        <v>30853333</v>
      </c>
      <c r="BB21" s="4020">
        <v>30853333</v>
      </c>
      <c r="BC21" s="4035">
        <f>BB21/BA21</f>
        <v>1</v>
      </c>
      <c r="BD21" s="4010">
        <v>20</v>
      </c>
      <c r="BE21" s="2644" t="s">
        <v>1049</v>
      </c>
      <c r="BF21" s="2687">
        <v>42627</v>
      </c>
      <c r="BG21" s="2687">
        <v>42627</v>
      </c>
      <c r="BH21" s="3080">
        <v>42724</v>
      </c>
      <c r="BI21" s="2687">
        <v>42724</v>
      </c>
      <c r="BJ21" s="3988" t="s">
        <v>1071</v>
      </c>
    </row>
    <row r="22" spans="1:62" s="4" customFormat="1" ht="120.75" customHeight="1" x14ac:dyDescent="0.2">
      <c r="A22" s="948"/>
      <c r="B22" s="454"/>
      <c r="C22" s="454"/>
      <c r="D22" s="948"/>
      <c r="E22" s="454"/>
      <c r="F22" s="949"/>
      <c r="G22" s="454"/>
      <c r="H22" s="454"/>
      <c r="I22" s="454"/>
      <c r="J22" s="2378">
        <v>7</v>
      </c>
      <c r="K22" s="2571" t="s">
        <v>1072</v>
      </c>
      <c r="L22" s="2105" t="s">
        <v>19</v>
      </c>
      <c r="M22" s="2380">
        <v>1</v>
      </c>
      <c r="N22" s="2462">
        <v>0.5</v>
      </c>
      <c r="O22" s="2708"/>
      <c r="P22" s="2709"/>
      <c r="Q22" s="3055"/>
      <c r="R22" s="1370">
        <f>W22/(S21+S22)</f>
        <v>0.20833333333333334</v>
      </c>
      <c r="S22" s="1373">
        <v>12500000</v>
      </c>
      <c r="T22" s="3050"/>
      <c r="U22" s="1350" t="s">
        <v>1073</v>
      </c>
      <c r="V22" s="2211" t="s">
        <v>1074</v>
      </c>
      <c r="W22" s="1373">
        <v>12500000</v>
      </c>
      <c r="X22" s="1476">
        <v>12500000</v>
      </c>
      <c r="Y22" s="1476">
        <v>12500000</v>
      </c>
      <c r="Z22" s="1374">
        <v>20</v>
      </c>
      <c r="AA22" s="2105" t="s">
        <v>66</v>
      </c>
      <c r="AB22" s="4022"/>
      <c r="AC22" s="4024"/>
      <c r="AD22" s="4022"/>
      <c r="AE22" s="4025"/>
      <c r="AF22" s="4022"/>
      <c r="AG22" s="4040"/>
      <c r="AH22" s="4041"/>
      <c r="AI22" s="4040"/>
      <c r="AJ22" s="4041"/>
      <c r="AK22" s="4040"/>
      <c r="AL22" s="4022"/>
      <c r="AM22" s="4025"/>
      <c r="AN22" s="4043"/>
      <c r="AO22" s="4015"/>
      <c r="AP22" s="4013"/>
      <c r="AQ22" s="4015"/>
      <c r="AR22" s="4013"/>
      <c r="AS22" s="4015"/>
      <c r="AT22" s="4013"/>
      <c r="AU22" s="4015"/>
      <c r="AV22" s="4013"/>
      <c r="AW22" s="4015"/>
      <c r="AX22" s="4013"/>
      <c r="AY22" s="4015"/>
      <c r="AZ22" s="4017"/>
      <c r="BA22" s="4019"/>
      <c r="BB22" s="4021"/>
      <c r="BC22" s="4036"/>
      <c r="BD22" s="4011"/>
      <c r="BE22" s="2646"/>
      <c r="BF22" s="2689"/>
      <c r="BG22" s="2689"/>
      <c r="BH22" s="3082"/>
      <c r="BI22" s="2689"/>
      <c r="BJ22" s="3988"/>
    </row>
    <row r="23" spans="1:62" s="4" customFormat="1" ht="15" x14ac:dyDescent="0.2">
      <c r="A23" s="948"/>
      <c r="B23" s="454"/>
      <c r="C23" s="454"/>
      <c r="D23" s="948"/>
      <c r="E23" s="454"/>
      <c r="F23" s="949"/>
      <c r="G23" s="1464">
        <v>3</v>
      </c>
      <c r="H23" s="657" t="s">
        <v>1075</v>
      </c>
      <c r="I23" s="657"/>
      <c r="J23" s="657"/>
      <c r="K23" s="1375"/>
      <c r="L23" s="50"/>
      <c r="M23" s="50"/>
      <c r="N23" s="411"/>
      <c r="O23" s="1376"/>
      <c r="P23" s="1376"/>
      <c r="Q23" s="412"/>
      <c r="R23" s="50"/>
      <c r="S23" s="2520"/>
      <c r="T23" s="412"/>
      <c r="U23" s="412"/>
      <c r="V23" s="412"/>
      <c r="W23" s="2520"/>
      <c r="X23" s="643"/>
      <c r="Y23" s="643"/>
      <c r="Z23" s="644"/>
      <c r="AA23" s="50"/>
      <c r="AB23" s="50"/>
      <c r="AC23" s="411"/>
      <c r="AD23" s="50"/>
      <c r="AE23" s="411"/>
      <c r="AF23" s="50"/>
      <c r="AG23" s="411"/>
      <c r="AH23" s="50"/>
      <c r="AI23" s="411"/>
      <c r="AJ23" s="50"/>
      <c r="AK23" s="411"/>
      <c r="AL23" s="50"/>
      <c r="AM23" s="411"/>
      <c r="AN23" s="50"/>
      <c r="AO23" s="411"/>
      <c r="AP23" s="50"/>
      <c r="AQ23" s="411"/>
      <c r="AR23" s="50"/>
      <c r="AS23" s="411"/>
      <c r="AT23" s="50"/>
      <c r="AU23" s="411"/>
      <c r="AV23" s="50"/>
      <c r="AW23" s="411"/>
      <c r="AX23" s="50"/>
      <c r="AY23" s="411"/>
      <c r="AZ23" s="1377"/>
      <c r="BA23" s="1492"/>
      <c r="BB23" s="1493"/>
      <c r="BC23" s="50"/>
      <c r="BD23" s="50"/>
      <c r="BE23" s="1377"/>
      <c r="BF23" s="50"/>
      <c r="BG23" s="411"/>
      <c r="BH23" s="50"/>
      <c r="BI23" s="411"/>
      <c r="BJ23" s="645"/>
    </row>
    <row r="24" spans="1:62" s="4" customFormat="1" ht="72.75" customHeight="1" x14ac:dyDescent="0.2">
      <c r="A24" s="2477"/>
      <c r="B24" s="454"/>
      <c r="C24" s="454"/>
      <c r="D24" s="2477"/>
      <c r="E24" s="454"/>
      <c r="F24" s="949"/>
      <c r="G24" s="2565"/>
      <c r="H24" s="454"/>
      <c r="I24" s="454"/>
      <c r="J24" s="3964">
        <v>14</v>
      </c>
      <c r="K24" s="4005" t="s">
        <v>1076</v>
      </c>
      <c r="L24" s="3043" t="s">
        <v>19</v>
      </c>
      <c r="M24" s="3090">
        <v>6</v>
      </c>
      <c r="N24" s="4008">
        <v>6</v>
      </c>
      <c r="O24" s="2707" t="s">
        <v>1077</v>
      </c>
      <c r="P24" s="2707">
        <v>68</v>
      </c>
      <c r="Q24" s="3054" t="s">
        <v>1078</v>
      </c>
      <c r="R24" s="3098">
        <f>(W24+W25+W26+W27+W28)/S24</f>
        <v>1</v>
      </c>
      <c r="S24" s="3986">
        <v>483489550</v>
      </c>
      <c r="T24" s="3054" t="s">
        <v>1068</v>
      </c>
      <c r="U24" s="3054" t="s">
        <v>1079</v>
      </c>
      <c r="V24" s="2452" t="s">
        <v>1080</v>
      </c>
      <c r="W24" s="1378">
        <v>72000000</v>
      </c>
      <c r="X24" s="4003">
        <f>70383402+17586666</f>
        <v>87970068</v>
      </c>
      <c r="Y24" s="4003">
        <f>70383402+17586666</f>
        <v>87970068</v>
      </c>
      <c r="Z24" s="1352">
        <v>20</v>
      </c>
      <c r="AA24" s="2107" t="s">
        <v>66</v>
      </c>
      <c r="AB24" s="3984">
        <v>7824</v>
      </c>
      <c r="AC24" s="2931">
        <v>2191</v>
      </c>
      <c r="AD24" s="2929">
        <v>8808</v>
      </c>
      <c r="AE24" s="3985">
        <v>2466</v>
      </c>
      <c r="AF24" s="2929">
        <v>3361</v>
      </c>
      <c r="AG24" s="3985">
        <v>941</v>
      </c>
      <c r="AH24" s="3984">
        <v>8902</v>
      </c>
      <c r="AI24" s="3985">
        <v>2492</v>
      </c>
      <c r="AJ24" s="3984">
        <v>30530</v>
      </c>
      <c r="AK24" s="2931">
        <v>8567</v>
      </c>
      <c r="AL24" s="3984">
        <v>9933</v>
      </c>
      <c r="AM24" s="3985">
        <v>2781</v>
      </c>
      <c r="AN24" s="4001"/>
      <c r="AO24" s="3982"/>
      <c r="AP24" s="3999"/>
      <c r="AQ24" s="3982"/>
      <c r="AR24" s="3999"/>
      <c r="AS24" s="3982"/>
      <c r="AT24" s="3999"/>
      <c r="AU24" s="3982"/>
      <c r="AV24" s="3999"/>
      <c r="AW24" s="3982"/>
      <c r="AX24" s="3999"/>
      <c r="AY24" s="3982"/>
      <c r="AZ24" s="3991">
        <v>13</v>
      </c>
      <c r="BA24" s="3993">
        <v>263896665</v>
      </c>
      <c r="BB24" s="3995">
        <v>263896665</v>
      </c>
      <c r="BC24" s="3976">
        <f>BB24/BA24</f>
        <v>1</v>
      </c>
      <c r="BD24" s="3997">
        <v>20</v>
      </c>
      <c r="BE24" s="2644" t="s">
        <v>1049</v>
      </c>
      <c r="BF24" s="3080">
        <v>42635</v>
      </c>
      <c r="BG24" s="2687">
        <v>42635</v>
      </c>
      <c r="BH24" s="3080">
        <v>42724</v>
      </c>
      <c r="BI24" s="2687">
        <v>42724</v>
      </c>
      <c r="BJ24" s="3104" t="s">
        <v>1041</v>
      </c>
    </row>
    <row r="25" spans="1:62" s="4" customFormat="1" ht="89.25" customHeight="1" x14ac:dyDescent="0.2">
      <c r="A25" s="2477"/>
      <c r="B25" s="454"/>
      <c r="C25" s="454"/>
      <c r="D25" s="2477"/>
      <c r="E25" s="454"/>
      <c r="F25" s="949"/>
      <c r="G25" s="454"/>
      <c r="H25" s="454"/>
      <c r="I25" s="454"/>
      <c r="J25" s="3964"/>
      <c r="K25" s="4005"/>
      <c r="L25" s="3045"/>
      <c r="M25" s="4007"/>
      <c r="N25" s="4009"/>
      <c r="O25" s="2708"/>
      <c r="P25" s="2708"/>
      <c r="Q25" s="3055"/>
      <c r="R25" s="3234"/>
      <c r="S25" s="3987"/>
      <c r="T25" s="3055"/>
      <c r="U25" s="3055"/>
      <c r="V25" s="2452" t="s">
        <v>1081</v>
      </c>
      <c r="W25" s="1379">
        <v>120000000</v>
      </c>
      <c r="X25" s="4004"/>
      <c r="Y25" s="4004"/>
      <c r="Z25" s="1352">
        <v>20</v>
      </c>
      <c r="AA25" s="2107" t="s">
        <v>66</v>
      </c>
      <c r="AB25" s="3984"/>
      <c r="AC25" s="2939"/>
      <c r="AD25" s="2938"/>
      <c r="AE25" s="3985"/>
      <c r="AF25" s="2938"/>
      <c r="AG25" s="3985"/>
      <c r="AH25" s="3984"/>
      <c r="AI25" s="3985"/>
      <c r="AJ25" s="3984"/>
      <c r="AK25" s="2939"/>
      <c r="AL25" s="3984"/>
      <c r="AM25" s="3985"/>
      <c r="AN25" s="4001"/>
      <c r="AO25" s="3983"/>
      <c r="AP25" s="4000"/>
      <c r="AQ25" s="3983"/>
      <c r="AR25" s="4000"/>
      <c r="AS25" s="3983"/>
      <c r="AT25" s="4000"/>
      <c r="AU25" s="3983"/>
      <c r="AV25" s="4000"/>
      <c r="AW25" s="3983"/>
      <c r="AX25" s="4000"/>
      <c r="AY25" s="3983"/>
      <c r="AZ25" s="3992"/>
      <c r="BA25" s="3994"/>
      <c r="BB25" s="3996"/>
      <c r="BC25" s="3977"/>
      <c r="BD25" s="3998"/>
      <c r="BE25" s="2645"/>
      <c r="BF25" s="3081"/>
      <c r="BG25" s="2688"/>
      <c r="BH25" s="3081"/>
      <c r="BI25" s="2688"/>
      <c r="BJ25" s="3988"/>
    </row>
    <row r="26" spans="1:62" s="4" customFormat="1" ht="81" customHeight="1" x14ac:dyDescent="0.2">
      <c r="A26" s="1457"/>
      <c r="B26" s="685"/>
      <c r="C26" s="685"/>
      <c r="D26" s="1457"/>
      <c r="E26" s="685"/>
      <c r="F26" s="1458"/>
      <c r="G26" s="454"/>
      <c r="H26" s="454"/>
      <c r="I26" s="454"/>
      <c r="J26" s="3964"/>
      <c r="K26" s="4005"/>
      <c r="L26" s="3045"/>
      <c r="M26" s="4007"/>
      <c r="N26" s="4009"/>
      <c r="O26" s="2708"/>
      <c r="P26" s="2708"/>
      <c r="Q26" s="3055"/>
      <c r="R26" s="3234"/>
      <c r="S26" s="3987"/>
      <c r="T26" s="3055"/>
      <c r="U26" s="3055"/>
      <c r="V26" s="2452" t="s">
        <v>1082</v>
      </c>
      <c r="W26" s="1380">
        <v>80000000</v>
      </c>
      <c r="X26" s="1381">
        <f>77946354-1860000</f>
        <v>76086354</v>
      </c>
      <c r="Y26" s="1381">
        <f>77946354-1860000</f>
        <v>76086354</v>
      </c>
      <c r="Z26" s="1352">
        <v>20</v>
      </c>
      <c r="AA26" s="2107" t="s">
        <v>66</v>
      </c>
      <c r="AB26" s="3984"/>
      <c r="AC26" s="2939"/>
      <c r="AD26" s="2938"/>
      <c r="AE26" s="3985"/>
      <c r="AF26" s="2938"/>
      <c r="AG26" s="3985"/>
      <c r="AH26" s="3984"/>
      <c r="AI26" s="3985"/>
      <c r="AJ26" s="3984"/>
      <c r="AK26" s="2939"/>
      <c r="AL26" s="3984"/>
      <c r="AM26" s="3985"/>
      <c r="AN26" s="4001"/>
      <c r="AO26" s="3983"/>
      <c r="AP26" s="4000"/>
      <c r="AQ26" s="3983"/>
      <c r="AR26" s="4000"/>
      <c r="AS26" s="3983"/>
      <c r="AT26" s="4000"/>
      <c r="AU26" s="3983"/>
      <c r="AV26" s="4000"/>
      <c r="AW26" s="3983"/>
      <c r="AX26" s="4000"/>
      <c r="AY26" s="3983"/>
      <c r="AZ26" s="3992"/>
      <c r="BA26" s="3994"/>
      <c r="BB26" s="3996"/>
      <c r="BC26" s="3977"/>
      <c r="BD26" s="3998"/>
      <c r="BE26" s="2645"/>
      <c r="BF26" s="3081"/>
      <c r="BG26" s="2688"/>
      <c r="BH26" s="3081"/>
      <c r="BI26" s="2688"/>
      <c r="BJ26" s="3988"/>
    </row>
    <row r="27" spans="1:62" s="4" customFormat="1" ht="120.75" customHeight="1" x14ac:dyDescent="0.2">
      <c r="A27" s="1457"/>
      <c r="B27" s="685"/>
      <c r="C27" s="685"/>
      <c r="D27" s="1457"/>
      <c r="E27" s="685"/>
      <c r="F27" s="1458"/>
      <c r="G27" s="454"/>
      <c r="H27" s="454"/>
      <c r="I27" s="454"/>
      <c r="J27" s="3964"/>
      <c r="K27" s="4005"/>
      <c r="L27" s="3045"/>
      <c r="M27" s="4007"/>
      <c r="N27" s="4009"/>
      <c r="O27" s="2708"/>
      <c r="P27" s="2708"/>
      <c r="Q27" s="3055"/>
      <c r="R27" s="3234"/>
      <c r="S27" s="3987"/>
      <c r="T27" s="3055"/>
      <c r="U27" s="3055"/>
      <c r="V27" s="675" t="s">
        <v>1083</v>
      </c>
      <c r="W27" s="1380">
        <v>111489550</v>
      </c>
      <c r="X27" s="1381"/>
      <c r="Y27" s="1381"/>
      <c r="Z27" s="1352">
        <v>20</v>
      </c>
      <c r="AA27" s="2107" t="s">
        <v>66</v>
      </c>
      <c r="AB27" s="3984"/>
      <c r="AC27" s="2939"/>
      <c r="AD27" s="2938"/>
      <c r="AE27" s="3985"/>
      <c r="AF27" s="2938"/>
      <c r="AG27" s="3985"/>
      <c r="AH27" s="3984"/>
      <c r="AI27" s="3985"/>
      <c r="AJ27" s="3984"/>
      <c r="AK27" s="2939"/>
      <c r="AL27" s="3984"/>
      <c r="AM27" s="3985"/>
      <c r="AN27" s="4001"/>
      <c r="AO27" s="3983"/>
      <c r="AP27" s="4000"/>
      <c r="AQ27" s="3983"/>
      <c r="AR27" s="4000"/>
      <c r="AS27" s="3983"/>
      <c r="AT27" s="4000"/>
      <c r="AU27" s="3983"/>
      <c r="AV27" s="4000"/>
      <c r="AW27" s="3983"/>
      <c r="AX27" s="4000"/>
      <c r="AY27" s="3983"/>
      <c r="AZ27" s="3992"/>
      <c r="BA27" s="3994"/>
      <c r="BB27" s="3996"/>
      <c r="BC27" s="3977"/>
      <c r="BD27" s="3998"/>
      <c r="BE27" s="2645"/>
      <c r="BF27" s="3081"/>
      <c r="BG27" s="2688"/>
      <c r="BH27" s="3081"/>
      <c r="BI27" s="2688"/>
      <c r="BJ27" s="3988"/>
    </row>
    <row r="28" spans="1:62" s="4" customFormat="1" ht="86.25" customHeight="1" x14ac:dyDescent="0.2">
      <c r="A28" s="1457"/>
      <c r="B28" s="685"/>
      <c r="C28" s="685"/>
      <c r="D28" s="1457"/>
      <c r="E28" s="685"/>
      <c r="F28" s="1458"/>
      <c r="G28" s="454"/>
      <c r="H28" s="454"/>
      <c r="I28" s="454"/>
      <c r="J28" s="3090"/>
      <c r="K28" s="4006"/>
      <c r="L28" s="3045"/>
      <c r="M28" s="4007"/>
      <c r="N28" s="4009"/>
      <c r="O28" s="2708"/>
      <c r="P28" s="2708"/>
      <c r="Q28" s="3055"/>
      <c r="R28" s="3099"/>
      <c r="S28" s="3987"/>
      <c r="T28" s="3055"/>
      <c r="U28" s="3055"/>
      <c r="V28" s="1382" t="s">
        <v>1084</v>
      </c>
      <c r="W28" s="1383">
        <v>100000000</v>
      </c>
      <c r="X28" s="1477">
        <v>99840243</v>
      </c>
      <c r="Y28" s="1477">
        <v>99840243</v>
      </c>
      <c r="Z28" s="1354">
        <v>20</v>
      </c>
      <c r="AA28" s="2105" t="s">
        <v>66</v>
      </c>
      <c r="AB28" s="2929"/>
      <c r="AC28" s="2939"/>
      <c r="AD28" s="2938"/>
      <c r="AE28" s="2931"/>
      <c r="AF28" s="2938"/>
      <c r="AG28" s="2931"/>
      <c r="AH28" s="2929"/>
      <c r="AI28" s="2931"/>
      <c r="AJ28" s="2929"/>
      <c r="AK28" s="2939"/>
      <c r="AL28" s="2929"/>
      <c r="AM28" s="2931"/>
      <c r="AN28" s="4002"/>
      <c r="AO28" s="3983"/>
      <c r="AP28" s="4000"/>
      <c r="AQ28" s="3983"/>
      <c r="AR28" s="4000"/>
      <c r="AS28" s="3983"/>
      <c r="AT28" s="4000"/>
      <c r="AU28" s="3983"/>
      <c r="AV28" s="4000"/>
      <c r="AW28" s="3983"/>
      <c r="AX28" s="4000"/>
      <c r="AY28" s="3983"/>
      <c r="AZ28" s="3992"/>
      <c r="BA28" s="3994"/>
      <c r="BB28" s="3996"/>
      <c r="BC28" s="3977"/>
      <c r="BD28" s="3998"/>
      <c r="BE28" s="2645"/>
      <c r="BF28" s="3081"/>
      <c r="BG28" s="2689"/>
      <c r="BH28" s="3081"/>
      <c r="BI28" s="2689"/>
      <c r="BJ28" s="3988"/>
    </row>
    <row r="29" spans="1:62" s="4" customFormat="1" ht="85.5" customHeight="1" x14ac:dyDescent="0.2">
      <c r="A29" s="1457"/>
      <c r="B29" s="685"/>
      <c r="C29" s="685"/>
      <c r="D29" s="1457"/>
      <c r="E29" s="685"/>
      <c r="F29" s="1458"/>
      <c r="G29" s="685"/>
      <c r="H29" s="685"/>
      <c r="I29" s="685"/>
      <c r="J29" s="2624">
        <v>15</v>
      </c>
      <c r="K29" s="2604" t="s">
        <v>1085</v>
      </c>
      <c r="L29" s="3989" t="s">
        <v>19</v>
      </c>
      <c r="M29" s="3919">
        <v>2</v>
      </c>
      <c r="N29" s="3990">
        <v>2</v>
      </c>
      <c r="O29" s="2626" t="s">
        <v>1086</v>
      </c>
      <c r="P29" s="2723">
        <v>69</v>
      </c>
      <c r="Q29" s="3980" t="s">
        <v>1087</v>
      </c>
      <c r="R29" s="3278">
        <f>(W29+W30+W31)/S29</f>
        <v>0.91441044151108408</v>
      </c>
      <c r="S29" s="3981">
        <v>215876800</v>
      </c>
      <c r="T29" s="3980" t="s">
        <v>1088</v>
      </c>
      <c r="U29" s="3979" t="s">
        <v>1089</v>
      </c>
      <c r="V29" s="2386" t="s">
        <v>1090</v>
      </c>
      <c r="W29" s="1384">
        <v>20000000</v>
      </c>
      <c r="X29" s="1476">
        <v>0</v>
      </c>
      <c r="Y29" s="563">
        <v>0</v>
      </c>
      <c r="Z29" s="1385">
        <v>20</v>
      </c>
      <c r="AA29" s="2383" t="s">
        <v>66</v>
      </c>
      <c r="AB29" s="3971">
        <v>8419</v>
      </c>
      <c r="AC29" s="3970"/>
      <c r="AD29" s="3971">
        <v>8371</v>
      </c>
      <c r="AE29" s="3970"/>
      <c r="AF29" s="3971">
        <v>8871</v>
      </c>
      <c r="AG29" s="3970"/>
      <c r="AH29" s="3971">
        <v>10240</v>
      </c>
      <c r="AI29" s="3970"/>
      <c r="AJ29" s="3971">
        <v>36000</v>
      </c>
      <c r="AK29" s="3970"/>
      <c r="AL29" s="3971">
        <v>10814</v>
      </c>
      <c r="AM29" s="3970"/>
      <c r="AN29" s="3971"/>
      <c r="AO29" s="3968"/>
      <c r="AP29" s="3969"/>
      <c r="AQ29" s="3968"/>
      <c r="AR29" s="3969"/>
      <c r="AS29" s="3968"/>
      <c r="AT29" s="3969"/>
      <c r="AU29" s="3968"/>
      <c r="AV29" s="3969"/>
      <c r="AW29" s="3968"/>
      <c r="AX29" s="3969"/>
      <c r="AY29" s="3968"/>
      <c r="AZ29" s="3973">
        <v>12</v>
      </c>
      <c r="BA29" s="3974">
        <v>33373332</v>
      </c>
      <c r="BB29" s="3975">
        <v>33373332</v>
      </c>
      <c r="BC29" s="3976">
        <f>(BB29/BA29)</f>
        <v>1</v>
      </c>
      <c r="BD29" s="3978">
        <v>20</v>
      </c>
      <c r="BE29" s="3966" t="s">
        <v>1049</v>
      </c>
      <c r="BF29" s="3967">
        <v>42663</v>
      </c>
      <c r="BG29" s="3967">
        <v>42663</v>
      </c>
      <c r="BH29" s="3967">
        <v>42723</v>
      </c>
      <c r="BI29" s="3967">
        <v>42723</v>
      </c>
      <c r="BJ29" s="3972" t="s">
        <v>1041</v>
      </c>
    </row>
    <row r="30" spans="1:62" s="4" customFormat="1" ht="85.5" customHeight="1" x14ac:dyDescent="0.2">
      <c r="A30" s="1457"/>
      <c r="B30" s="685"/>
      <c r="C30" s="685"/>
      <c r="D30" s="1457"/>
      <c r="E30" s="685"/>
      <c r="F30" s="1458"/>
      <c r="G30" s="685"/>
      <c r="H30" s="685"/>
      <c r="I30" s="685"/>
      <c r="J30" s="2624"/>
      <c r="K30" s="2604"/>
      <c r="L30" s="3989"/>
      <c r="M30" s="3919"/>
      <c r="N30" s="3990"/>
      <c r="O30" s="2626"/>
      <c r="P30" s="2723"/>
      <c r="Q30" s="3980"/>
      <c r="R30" s="3279"/>
      <c r="S30" s="3981"/>
      <c r="T30" s="3980"/>
      <c r="U30" s="3979"/>
      <c r="V30" s="2386" t="s">
        <v>1091</v>
      </c>
      <c r="W30" s="1384">
        <v>61610000</v>
      </c>
      <c r="X30" s="1476">
        <v>19929999</v>
      </c>
      <c r="Y30" s="563">
        <v>19929999</v>
      </c>
      <c r="Z30" s="1385"/>
      <c r="AA30" s="2383"/>
      <c r="AB30" s="3971"/>
      <c r="AC30" s="3970"/>
      <c r="AD30" s="3971"/>
      <c r="AE30" s="3970"/>
      <c r="AF30" s="3971"/>
      <c r="AG30" s="3970"/>
      <c r="AH30" s="3971"/>
      <c r="AI30" s="3970"/>
      <c r="AJ30" s="3971"/>
      <c r="AK30" s="3970"/>
      <c r="AL30" s="3971"/>
      <c r="AM30" s="3970"/>
      <c r="AN30" s="3971"/>
      <c r="AO30" s="3968"/>
      <c r="AP30" s="3969"/>
      <c r="AQ30" s="3968"/>
      <c r="AR30" s="3969"/>
      <c r="AS30" s="3968"/>
      <c r="AT30" s="3969"/>
      <c r="AU30" s="3968"/>
      <c r="AV30" s="3969"/>
      <c r="AW30" s="3968"/>
      <c r="AX30" s="3969"/>
      <c r="AY30" s="3968"/>
      <c r="AZ30" s="3973"/>
      <c r="BA30" s="3974"/>
      <c r="BB30" s="3975"/>
      <c r="BC30" s="3977"/>
      <c r="BD30" s="3978"/>
      <c r="BE30" s="3966"/>
      <c r="BF30" s="3967"/>
      <c r="BG30" s="3967"/>
      <c r="BH30" s="3967"/>
      <c r="BI30" s="3967"/>
      <c r="BJ30" s="3972"/>
    </row>
    <row r="31" spans="1:62" s="4" customFormat="1" ht="85.5" customHeight="1" x14ac:dyDescent="0.2">
      <c r="A31" s="1457"/>
      <c r="B31" s="685"/>
      <c r="C31" s="685"/>
      <c r="D31" s="1457"/>
      <c r="E31" s="685"/>
      <c r="F31" s="1458"/>
      <c r="G31" s="685"/>
      <c r="H31" s="685"/>
      <c r="I31" s="685"/>
      <c r="J31" s="2624"/>
      <c r="K31" s="2604"/>
      <c r="L31" s="3989"/>
      <c r="M31" s="3919"/>
      <c r="N31" s="3990"/>
      <c r="O31" s="2626"/>
      <c r="P31" s="2723"/>
      <c r="Q31" s="3980"/>
      <c r="R31" s="3280"/>
      <c r="S31" s="3981"/>
      <c r="T31" s="3980"/>
      <c r="U31" s="3979"/>
      <c r="V31" s="2386" t="s">
        <v>1092</v>
      </c>
      <c r="W31" s="2513">
        <v>115790000</v>
      </c>
      <c r="X31" s="1476">
        <v>0</v>
      </c>
      <c r="Y31" s="563"/>
      <c r="Z31" s="1385"/>
      <c r="AA31" s="2383"/>
      <c r="AB31" s="3971"/>
      <c r="AC31" s="3970"/>
      <c r="AD31" s="3971"/>
      <c r="AE31" s="3970"/>
      <c r="AF31" s="3971"/>
      <c r="AG31" s="3970"/>
      <c r="AH31" s="3971"/>
      <c r="AI31" s="3970"/>
      <c r="AJ31" s="3971"/>
      <c r="AK31" s="3970"/>
      <c r="AL31" s="3971"/>
      <c r="AM31" s="3970"/>
      <c r="AN31" s="3971"/>
      <c r="AO31" s="3968"/>
      <c r="AP31" s="3969"/>
      <c r="AQ31" s="3968"/>
      <c r="AR31" s="3969"/>
      <c r="AS31" s="3968"/>
      <c r="AT31" s="3969"/>
      <c r="AU31" s="3968"/>
      <c r="AV31" s="3969"/>
      <c r="AW31" s="3968"/>
      <c r="AX31" s="3969"/>
      <c r="AY31" s="3968"/>
      <c r="AZ31" s="3973"/>
      <c r="BA31" s="3974"/>
      <c r="BB31" s="3975"/>
      <c r="BC31" s="3977"/>
      <c r="BD31" s="3978"/>
      <c r="BE31" s="3966"/>
      <c r="BF31" s="3967"/>
      <c r="BG31" s="3967"/>
      <c r="BH31" s="3967"/>
      <c r="BI31" s="3967"/>
      <c r="BJ31" s="3972"/>
    </row>
    <row r="32" spans="1:62" s="4" customFormat="1" ht="137.25" customHeight="1" x14ac:dyDescent="0.2">
      <c r="A32" s="1457"/>
      <c r="B32" s="685"/>
      <c r="C32" s="685"/>
      <c r="D32" s="1457"/>
      <c r="E32" s="685"/>
      <c r="F32" s="1458"/>
      <c r="G32" s="685"/>
      <c r="H32" s="685"/>
      <c r="I32" s="685"/>
      <c r="J32" s="2378">
        <v>19</v>
      </c>
      <c r="K32" s="2568" t="s">
        <v>1093</v>
      </c>
      <c r="L32" s="2383" t="s">
        <v>19</v>
      </c>
      <c r="M32" s="2384">
        <v>5</v>
      </c>
      <c r="N32" s="2404">
        <v>5</v>
      </c>
      <c r="O32" s="2626"/>
      <c r="P32" s="2723"/>
      <c r="Q32" s="3980"/>
      <c r="R32" s="2272">
        <f>W32/S29</f>
        <v>4.2616900009635125E-2</v>
      </c>
      <c r="S32" s="3981"/>
      <c r="T32" s="3980"/>
      <c r="U32" s="1350" t="s">
        <v>1094</v>
      </c>
      <c r="V32" s="2475" t="s">
        <v>1095</v>
      </c>
      <c r="W32" s="1384">
        <v>9200000</v>
      </c>
      <c r="X32" s="1476">
        <v>8549166</v>
      </c>
      <c r="Y32" s="563">
        <v>8549166</v>
      </c>
      <c r="Z32" s="1385">
        <v>20</v>
      </c>
      <c r="AA32" s="2383" t="s">
        <v>66</v>
      </c>
      <c r="AB32" s="3971"/>
      <c r="AC32" s="3970"/>
      <c r="AD32" s="3971"/>
      <c r="AE32" s="3970"/>
      <c r="AF32" s="3971"/>
      <c r="AG32" s="3970"/>
      <c r="AH32" s="3971"/>
      <c r="AI32" s="3970"/>
      <c r="AJ32" s="3971"/>
      <c r="AK32" s="3970"/>
      <c r="AL32" s="3971"/>
      <c r="AM32" s="3970"/>
      <c r="AN32" s="3971"/>
      <c r="AO32" s="3968"/>
      <c r="AP32" s="3969"/>
      <c r="AQ32" s="3968"/>
      <c r="AR32" s="3969"/>
      <c r="AS32" s="3968"/>
      <c r="AT32" s="3969"/>
      <c r="AU32" s="3968"/>
      <c r="AV32" s="3969"/>
      <c r="AW32" s="3968"/>
      <c r="AX32" s="3969"/>
      <c r="AY32" s="3968"/>
      <c r="AZ32" s="3973"/>
      <c r="BA32" s="3974"/>
      <c r="BB32" s="3975"/>
      <c r="BC32" s="3977"/>
      <c r="BD32" s="3978"/>
      <c r="BE32" s="3966"/>
      <c r="BF32" s="3967"/>
      <c r="BG32" s="3967"/>
      <c r="BH32" s="3967"/>
      <c r="BI32" s="3967"/>
      <c r="BJ32" s="3972"/>
    </row>
    <row r="33" spans="1:62" s="4" customFormat="1" ht="78" customHeight="1" x14ac:dyDescent="0.2">
      <c r="A33" s="1457"/>
      <c r="B33" s="685"/>
      <c r="C33" s="685"/>
      <c r="D33" s="1457"/>
      <c r="E33" s="685"/>
      <c r="F33" s="1458"/>
      <c r="G33" s="685"/>
      <c r="H33" s="685"/>
      <c r="I33" s="685"/>
      <c r="J33" s="2135">
        <v>20</v>
      </c>
      <c r="K33" s="2568" t="s">
        <v>1096</v>
      </c>
      <c r="L33" s="2383" t="s">
        <v>19</v>
      </c>
      <c r="M33" s="2384">
        <v>50</v>
      </c>
      <c r="N33" s="2404">
        <v>100</v>
      </c>
      <c r="O33" s="2626"/>
      <c r="P33" s="2723"/>
      <c r="Q33" s="3980"/>
      <c r="R33" s="1386">
        <v>0.05</v>
      </c>
      <c r="S33" s="3981"/>
      <c r="T33" s="3980"/>
      <c r="U33" s="2386" t="s">
        <v>1097</v>
      </c>
      <c r="V33" s="2475" t="s">
        <v>1098</v>
      </c>
      <c r="W33" s="1384">
        <v>9276800</v>
      </c>
      <c r="X33" s="1476">
        <v>4894167</v>
      </c>
      <c r="Y33" s="563">
        <v>4894167</v>
      </c>
      <c r="Z33" s="1385">
        <v>20</v>
      </c>
      <c r="AA33" s="2383" t="s">
        <v>66</v>
      </c>
      <c r="AB33" s="3971"/>
      <c r="AC33" s="3970"/>
      <c r="AD33" s="3971"/>
      <c r="AE33" s="3970"/>
      <c r="AF33" s="3971"/>
      <c r="AG33" s="3970"/>
      <c r="AH33" s="3971"/>
      <c r="AI33" s="3970"/>
      <c r="AJ33" s="3971"/>
      <c r="AK33" s="3970"/>
      <c r="AL33" s="3971"/>
      <c r="AM33" s="3970"/>
      <c r="AN33" s="3971"/>
      <c r="AO33" s="3968"/>
      <c r="AP33" s="3969"/>
      <c r="AQ33" s="3968"/>
      <c r="AR33" s="3969"/>
      <c r="AS33" s="3968"/>
      <c r="AT33" s="3969"/>
      <c r="AU33" s="3968"/>
      <c r="AV33" s="3969"/>
      <c r="AW33" s="3968"/>
      <c r="AX33" s="3969"/>
      <c r="AY33" s="3968"/>
      <c r="AZ33" s="3973"/>
      <c r="BA33" s="3974"/>
      <c r="BB33" s="3975"/>
      <c r="BC33" s="3977"/>
      <c r="BD33" s="3978"/>
      <c r="BE33" s="3966"/>
      <c r="BF33" s="3967"/>
      <c r="BG33" s="3967"/>
      <c r="BH33" s="3967"/>
      <c r="BI33" s="3967"/>
      <c r="BJ33" s="3972"/>
    </row>
    <row r="34" spans="1:62" s="4" customFormat="1" ht="147" customHeight="1" x14ac:dyDescent="0.2">
      <c r="A34" s="1459"/>
      <c r="B34" s="688"/>
      <c r="C34" s="688"/>
      <c r="D34" s="1459"/>
      <c r="E34" s="688"/>
      <c r="F34" s="1460"/>
      <c r="G34" s="688"/>
      <c r="H34" s="688"/>
      <c r="I34" s="688"/>
      <c r="J34" s="2378">
        <v>15</v>
      </c>
      <c r="K34" s="2568" t="s">
        <v>1085</v>
      </c>
      <c r="L34" s="2383" t="s">
        <v>19</v>
      </c>
      <c r="M34" s="2384">
        <v>2</v>
      </c>
      <c r="N34" s="2385">
        <v>2</v>
      </c>
      <c r="O34" s="2415" t="s">
        <v>1099</v>
      </c>
      <c r="P34" s="2383">
        <v>71</v>
      </c>
      <c r="Q34" s="2386" t="s">
        <v>1100</v>
      </c>
      <c r="R34" s="1386">
        <v>1</v>
      </c>
      <c r="S34" s="2387">
        <v>5000000</v>
      </c>
      <c r="T34" s="2386" t="s">
        <v>1101</v>
      </c>
      <c r="U34" s="2386" t="s">
        <v>1102</v>
      </c>
      <c r="V34" s="2386" t="s">
        <v>1103</v>
      </c>
      <c r="W34" s="1384">
        <v>5000000</v>
      </c>
      <c r="X34" s="1476">
        <v>5000000</v>
      </c>
      <c r="Y34" s="563">
        <v>5000000</v>
      </c>
      <c r="Z34" s="1385">
        <v>20</v>
      </c>
      <c r="AA34" s="2383" t="s">
        <v>66</v>
      </c>
      <c r="AB34" s="1387">
        <v>36783.199999999997</v>
      </c>
      <c r="AC34" s="2388">
        <v>36783.199999999997</v>
      </c>
      <c r="AD34" s="1387">
        <v>97717</v>
      </c>
      <c r="AE34" s="2388">
        <v>97717</v>
      </c>
      <c r="AF34" s="1387">
        <v>50353</v>
      </c>
      <c r="AG34" s="2388">
        <v>50353</v>
      </c>
      <c r="AH34" s="1387">
        <v>78430</v>
      </c>
      <c r="AI34" s="2388">
        <v>78430</v>
      </c>
      <c r="AJ34" s="1387">
        <v>221366</v>
      </c>
      <c r="AK34" s="2388">
        <v>221366</v>
      </c>
      <c r="AL34" s="1387">
        <v>71187</v>
      </c>
      <c r="AM34" s="2388">
        <v>71187</v>
      </c>
      <c r="AN34" s="1388"/>
      <c r="AO34" s="678"/>
      <c r="AP34" s="677"/>
      <c r="AQ34" s="678"/>
      <c r="AR34" s="677"/>
      <c r="AS34" s="678"/>
      <c r="AT34" s="677"/>
      <c r="AU34" s="678"/>
      <c r="AV34" s="677"/>
      <c r="AW34" s="678"/>
      <c r="AX34" s="677"/>
      <c r="AY34" s="678"/>
      <c r="AZ34" s="1389">
        <v>1</v>
      </c>
      <c r="BA34" s="2390">
        <v>5000000</v>
      </c>
      <c r="BB34" s="2391">
        <f>+Y34</f>
        <v>5000000</v>
      </c>
      <c r="BC34" s="1390">
        <f>+X34/W34</f>
        <v>1</v>
      </c>
      <c r="BD34" s="2392">
        <v>20</v>
      </c>
      <c r="BE34" s="1391" t="s">
        <v>1049</v>
      </c>
      <c r="BF34" s="2510">
        <v>41192</v>
      </c>
      <c r="BG34" s="1361">
        <v>41192</v>
      </c>
      <c r="BH34" s="2510">
        <v>42724</v>
      </c>
      <c r="BI34" s="1392">
        <v>42724</v>
      </c>
      <c r="BJ34" s="2389" t="s">
        <v>1071</v>
      </c>
    </row>
    <row r="35" spans="1:62" s="4" customFormat="1" ht="220.5" customHeight="1" thickBot="1" x14ac:dyDescent="0.25">
      <c r="A35" s="1461"/>
      <c r="B35" s="686"/>
      <c r="C35" s="686"/>
      <c r="D35" s="1461"/>
      <c r="E35" s="686"/>
      <c r="F35" s="1462"/>
      <c r="G35" s="688"/>
      <c r="H35" s="686"/>
      <c r="I35" s="686"/>
      <c r="J35" s="2202">
        <v>15</v>
      </c>
      <c r="K35" s="1393" t="s">
        <v>1085</v>
      </c>
      <c r="L35" s="2393" t="s">
        <v>19</v>
      </c>
      <c r="M35" s="2394">
        <v>2</v>
      </c>
      <c r="N35" s="2484">
        <v>2</v>
      </c>
      <c r="O35" s="2400" t="s">
        <v>1104</v>
      </c>
      <c r="P35" s="2393">
        <v>70</v>
      </c>
      <c r="Q35" s="2209" t="s">
        <v>1105</v>
      </c>
      <c r="R35" s="1394">
        <v>1</v>
      </c>
      <c r="S35" s="2396">
        <v>5000000</v>
      </c>
      <c r="T35" s="2209" t="s">
        <v>1106</v>
      </c>
      <c r="U35" s="2209" t="s">
        <v>1107</v>
      </c>
      <c r="V35" s="2444" t="s">
        <v>1103</v>
      </c>
      <c r="W35" s="1395">
        <v>5000000</v>
      </c>
      <c r="X35" s="1478">
        <v>5000000</v>
      </c>
      <c r="Y35" s="571">
        <v>5000000</v>
      </c>
      <c r="Z35" s="1396">
        <v>20</v>
      </c>
      <c r="AA35" s="2393" t="s">
        <v>66</v>
      </c>
      <c r="AB35" s="1397">
        <v>36783.199999999997</v>
      </c>
      <c r="AC35" s="1526">
        <v>36783.199999999997</v>
      </c>
      <c r="AD35" s="1397">
        <v>97717</v>
      </c>
      <c r="AE35" s="1526">
        <v>97717</v>
      </c>
      <c r="AF35" s="1397">
        <v>78430</v>
      </c>
      <c r="AG35" s="1526">
        <v>78430</v>
      </c>
      <c r="AH35" s="1397">
        <v>78430</v>
      </c>
      <c r="AI35" s="1526">
        <v>78430</v>
      </c>
      <c r="AJ35" s="1397">
        <v>221366</v>
      </c>
      <c r="AK35" s="1526">
        <v>221366</v>
      </c>
      <c r="AL35" s="1397">
        <v>71187</v>
      </c>
      <c r="AM35" s="1526">
        <v>71187</v>
      </c>
      <c r="AN35" s="1398"/>
      <c r="AO35" s="1399"/>
      <c r="AP35" s="564"/>
      <c r="AQ35" s="1399"/>
      <c r="AR35" s="564"/>
      <c r="AS35" s="1399"/>
      <c r="AT35" s="564"/>
      <c r="AU35" s="1399"/>
      <c r="AV35" s="564"/>
      <c r="AW35" s="1399"/>
      <c r="AX35" s="564"/>
      <c r="AY35" s="1399"/>
      <c r="AZ35" s="1400">
        <v>1</v>
      </c>
      <c r="BA35" s="2381">
        <v>5000000</v>
      </c>
      <c r="BB35" s="2382">
        <f>+Y35</f>
        <v>5000000</v>
      </c>
      <c r="BC35" s="1401">
        <f>+X35/W35</f>
        <v>1</v>
      </c>
      <c r="BD35" s="1402">
        <v>20</v>
      </c>
      <c r="BE35" s="1403" t="s">
        <v>1049</v>
      </c>
      <c r="BF35" s="1404">
        <v>41192</v>
      </c>
      <c r="BG35" s="1405">
        <v>41192</v>
      </c>
      <c r="BH35" s="1404">
        <v>42724</v>
      </c>
      <c r="BI35" s="1406">
        <v>42724</v>
      </c>
      <c r="BJ35" s="1407" t="s">
        <v>1071</v>
      </c>
    </row>
    <row r="36" spans="1:62" s="4" customFormat="1" ht="25.5" customHeight="1" thickTop="1" x14ac:dyDescent="0.2">
      <c r="A36" s="1457"/>
      <c r="B36" s="685"/>
      <c r="C36" s="685"/>
      <c r="D36" s="1457"/>
      <c r="E36" s="685"/>
      <c r="F36" s="1458"/>
      <c r="G36" s="1464">
        <v>4</v>
      </c>
      <c r="H36" s="657" t="s">
        <v>1108</v>
      </c>
      <c r="I36" s="525"/>
      <c r="J36" s="657"/>
      <c r="K36" s="1408"/>
      <c r="L36" s="657"/>
      <c r="M36" s="525"/>
      <c r="N36" s="411"/>
      <c r="O36" s="1376"/>
      <c r="P36" s="1376"/>
      <c r="Q36" s="412"/>
      <c r="R36" s="50"/>
      <c r="S36" s="2520"/>
      <c r="T36" s="412"/>
      <c r="U36" s="412"/>
      <c r="V36" s="412"/>
      <c r="W36" s="2520"/>
      <c r="X36" s="643"/>
      <c r="Y36" s="643"/>
      <c r="Z36" s="644"/>
      <c r="AA36" s="50"/>
      <c r="AB36" s="50"/>
      <c r="AC36" s="411"/>
      <c r="AD36" s="50"/>
      <c r="AE36" s="411"/>
      <c r="AF36" s="50"/>
      <c r="AG36" s="411"/>
      <c r="AH36" s="50"/>
      <c r="AI36" s="411"/>
      <c r="AJ36" s="50"/>
      <c r="AK36" s="411"/>
      <c r="AL36" s="50"/>
      <c r="AM36" s="411"/>
      <c r="AN36" s="50"/>
      <c r="AO36" s="411"/>
      <c r="AP36" s="50"/>
      <c r="AQ36" s="411"/>
      <c r="AR36" s="50"/>
      <c r="AS36" s="411"/>
      <c r="AT36" s="50"/>
      <c r="AU36" s="411"/>
      <c r="AV36" s="50"/>
      <c r="AW36" s="411"/>
      <c r="AX36" s="50"/>
      <c r="AY36" s="411"/>
      <c r="AZ36" s="1377"/>
      <c r="BA36" s="1492"/>
      <c r="BB36" s="1493"/>
      <c r="BC36" s="50"/>
      <c r="BD36" s="50"/>
      <c r="BE36" s="1377"/>
      <c r="BF36" s="50"/>
      <c r="BG36" s="411"/>
      <c r="BH36" s="50"/>
      <c r="BI36" s="411"/>
      <c r="BJ36" s="645"/>
    </row>
    <row r="37" spans="1:62" s="4" customFormat="1" ht="110.25" customHeight="1" x14ac:dyDescent="0.2">
      <c r="A37" s="1459"/>
      <c r="B37" s="688"/>
      <c r="C37" s="688"/>
      <c r="D37" s="1459"/>
      <c r="E37" s="688"/>
      <c r="F37" s="1460"/>
      <c r="G37" s="688"/>
      <c r="H37" s="688"/>
      <c r="I37" s="688"/>
      <c r="J37" s="3964">
        <v>21</v>
      </c>
      <c r="K37" s="3965" t="s">
        <v>1109</v>
      </c>
      <c r="L37" s="3916" t="s">
        <v>19</v>
      </c>
      <c r="M37" s="3935">
        <v>100</v>
      </c>
      <c r="N37" s="2898">
        <v>100</v>
      </c>
      <c r="O37" s="3916" t="s">
        <v>1110</v>
      </c>
      <c r="P37" s="3915">
        <v>72</v>
      </c>
      <c r="Q37" s="3055" t="s">
        <v>1111</v>
      </c>
      <c r="R37" s="3278">
        <v>1</v>
      </c>
      <c r="S37" s="3963">
        <v>195000000</v>
      </c>
      <c r="T37" s="3055" t="s">
        <v>1112</v>
      </c>
      <c r="U37" s="1409" t="s">
        <v>1113</v>
      </c>
      <c r="V37" s="1410" t="s">
        <v>1114</v>
      </c>
      <c r="W37" s="2516">
        <v>95000000</v>
      </c>
      <c r="X37" s="1479">
        <v>62536616</v>
      </c>
      <c r="Y37" s="1797">
        <v>62536616</v>
      </c>
      <c r="Z37" s="1411">
        <v>20</v>
      </c>
      <c r="AA37" s="2463" t="s">
        <v>66</v>
      </c>
      <c r="AB37" s="3928"/>
      <c r="AC37" s="3900"/>
      <c r="AD37" s="3902"/>
      <c r="AE37" s="3960">
        <v>10</v>
      </c>
      <c r="AF37" s="3961"/>
      <c r="AG37" s="3960">
        <v>20</v>
      </c>
      <c r="AH37" s="3961"/>
      <c r="AI37" s="3927"/>
      <c r="AJ37" s="2819">
        <v>350</v>
      </c>
      <c r="AK37" s="2890">
        <v>30</v>
      </c>
      <c r="AL37" s="2892">
        <v>250</v>
      </c>
      <c r="AM37" s="2890">
        <v>40</v>
      </c>
      <c r="AN37" s="3898"/>
      <c r="AO37" s="3900"/>
      <c r="AP37" s="3902"/>
      <c r="AQ37" s="3958">
        <v>5</v>
      </c>
      <c r="AR37" s="3952"/>
      <c r="AS37" s="3954"/>
      <c r="AT37" s="3952"/>
      <c r="AU37" s="3954"/>
      <c r="AV37" s="3952"/>
      <c r="AW37" s="3954"/>
      <c r="AX37" s="3952"/>
      <c r="AY37" s="3954"/>
      <c r="AZ37" s="2817">
        <v>11</v>
      </c>
      <c r="BA37" s="3956">
        <v>162536440</v>
      </c>
      <c r="BB37" s="3944">
        <v>96536440</v>
      </c>
      <c r="BC37" s="3946">
        <f>BB37/BA37</f>
        <v>0.59393721186461323</v>
      </c>
      <c r="BD37" s="3948">
        <v>20</v>
      </c>
      <c r="BE37" s="3950" t="s">
        <v>1115</v>
      </c>
      <c r="BF37" s="3439">
        <v>42622</v>
      </c>
      <c r="BG37" s="3439">
        <v>42622</v>
      </c>
      <c r="BH37" s="3941">
        <v>42724</v>
      </c>
      <c r="BI37" s="3933">
        <v>42724</v>
      </c>
      <c r="BJ37" s="3943" t="s">
        <v>1071</v>
      </c>
    </row>
    <row r="38" spans="1:62" s="4" customFormat="1" ht="126.75" customHeight="1" x14ac:dyDescent="0.2">
      <c r="A38" s="1459"/>
      <c r="B38" s="688"/>
      <c r="C38" s="688"/>
      <c r="D38" s="1459"/>
      <c r="E38" s="688"/>
      <c r="F38" s="1460"/>
      <c r="G38" s="688"/>
      <c r="H38" s="688"/>
      <c r="I38" s="688"/>
      <c r="J38" s="3090"/>
      <c r="K38" s="3965"/>
      <c r="L38" s="3916"/>
      <c r="M38" s="3935"/>
      <c r="N38" s="2890"/>
      <c r="O38" s="3916"/>
      <c r="P38" s="3916"/>
      <c r="Q38" s="3055"/>
      <c r="R38" s="3280"/>
      <c r="S38" s="3963"/>
      <c r="T38" s="3055"/>
      <c r="U38" s="2454" t="s">
        <v>1116</v>
      </c>
      <c r="V38" s="2199" t="s">
        <v>1117</v>
      </c>
      <c r="W38" s="2515">
        <v>100000000</v>
      </c>
      <c r="X38" s="1477">
        <v>99999824</v>
      </c>
      <c r="Y38" s="1798">
        <v>33999824</v>
      </c>
      <c r="Z38" s="1412">
        <v>20</v>
      </c>
      <c r="AA38" s="2395" t="s">
        <v>66</v>
      </c>
      <c r="AB38" s="3928"/>
      <c r="AC38" s="3927"/>
      <c r="AD38" s="3928"/>
      <c r="AE38" s="3960"/>
      <c r="AF38" s="3962"/>
      <c r="AG38" s="3960"/>
      <c r="AH38" s="3962"/>
      <c r="AI38" s="3927"/>
      <c r="AJ38" s="2820"/>
      <c r="AK38" s="2890"/>
      <c r="AL38" s="2893"/>
      <c r="AM38" s="2890"/>
      <c r="AN38" s="3934"/>
      <c r="AO38" s="3927"/>
      <c r="AP38" s="3928"/>
      <c r="AQ38" s="3959"/>
      <c r="AR38" s="3953"/>
      <c r="AS38" s="3955"/>
      <c r="AT38" s="3953"/>
      <c r="AU38" s="3955"/>
      <c r="AV38" s="3953"/>
      <c r="AW38" s="3955"/>
      <c r="AX38" s="3953"/>
      <c r="AY38" s="3955"/>
      <c r="AZ38" s="2818"/>
      <c r="BA38" s="3957"/>
      <c r="BB38" s="3945"/>
      <c r="BC38" s="3947"/>
      <c r="BD38" s="3949"/>
      <c r="BE38" s="3951"/>
      <c r="BF38" s="3926"/>
      <c r="BG38" s="3926"/>
      <c r="BH38" s="3942"/>
      <c r="BI38" s="3914"/>
      <c r="BJ38" s="3943"/>
    </row>
    <row r="39" spans="1:62" s="4" customFormat="1" ht="180.75" customHeight="1" x14ac:dyDescent="0.2">
      <c r="A39" s="1461"/>
      <c r="B39" s="686"/>
      <c r="C39" s="686"/>
      <c r="D39" s="1461"/>
      <c r="E39" s="686"/>
      <c r="F39" s="1462"/>
      <c r="G39" s="686"/>
      <c r="H39" s="686"/>
      <c r="I39" s="686"/>
      <c r="J39" s="2378">
        <v>21</v>
      </c>
      <c r="K39" s="2576" t="s">
        <v>1109</v>
      </c>
      <c r="L39" s="2383" t="s">
        <v>19</v>
      </c>
      <c r="M39" s="2384">
        <v>100</v>
      </c>
      <c r="N39" s="2404">
        <v>100</v>
      </c>
      <c r="O39" s="2383" t="s">
        <v>1118</v>
      </c>
      <c r="P39" s="2383">
        <v>73</v>
      </c>
      <c r="Q39" s="2386" t="s">
        <v>1119</v>
      </c>
      <c r="R39" s="1386">
        <v>1</v>
      </c>
      <c r="S39" s="2387">
        <v>5000000</v>
      </c>
      <c r="T39" s="2386" t="s">
        <v>1120</v>
      </c>
      <c r="U39" s="1413" t="s">
        <v>1121</v>
      </c>
      <c r="V39" s="2452" t="s">
        <v>1063</v>
      </c>
      <c r="W39" s="2387">
        <v>5000000</v>
      </c>
      <c r="X39" s="1479">
        <v>5000000</v>
      </c>
      <c r="Y39" s="1797">
        <v>5000000</v>
      </c>
      <c r="Z39" s="1414">
        <v>20</v>
      </c>
      <c r="AA39" s="2383" t="s">
        <v>66</v>
      </c>
      <c r="AB39" s="1388">
        <v>7824</v>
      </c>
      <c r="AC39" s="1527">
        <v>7824</v>
      </c>
      <c r="AD39" s="1388">
        <v>8808</v>
      </c>
      <c r="AE39" s="1527">
        <v>8808</v>
      </c>
      <c r="AF39" s="1388">
        <v>3361</v>
      </c>
      <c r="AG39" s="1527">
        <v>3361</v>
      </c>
      <c r="AH39" s="1388">
        <v>9933</v>
      </c>
      <c r="AI39" s="1528">
        <v>9933</v>
      </c>
      <c r="AJ39" s="1415">
        <v>29499</v>
      </c>
      <c r="AK39" s="1528">
        <v>29499</v>
      </c>
      <c r="AL39" s="1388">
        <v>9933</v>
      </c>
      <c r="AM39" s="1527">
        <v>9933</v>
      </c>
      <c r="AN39" s="1388"/>
      <c r="AO39" s="678"/>
      <c r="AP39" s="676"/>
      <c r="AQ39" s="678"/>
      <c r="AR39" s="677"/>
      <c r="AS39" s="678"/>
      <c r="AT39" s="677"/>
      <c r="AU39" s="678"/>
      <c r="AV39" s="677"/>
      <c r="AW39" s="678"/>
      <c r="AX39" s="677"/>
      <c r="AY39" s="678"/>
      <c r="AZ39" s="2169">
        <v>1</v>
      </c>
      <c r="BA39" s="1494">
        <v>5000000</v>
      </c>
      <c r="BB39" s="1495">
        <f>+Y39</f>
        <v>5000000</v>
      </c>
      <c r="BC39" s="1416">
        <f>+X39/W39</f>
        <v>1</v>
      </c>
      <c r="BD39" s="2489">
        <v>20</v>
      </c>
      <c r="BE39" s="1391" t="s">
        <v>1115</v>
      </c>
      <c r="BF39" s="2510">
        <v>41192</v>
      </c>
      <c r="BG39" s="1361">
        <v>41192</v>
      </c>
      <c r="BH39" s="2510">
        <v>42724</v>
      </c>
      <c r="BI39" s="1392">
        <v>42724</v>
      </c>
      <c r="BJ39" s="2389" t="s">
        <v>1071</v>
      </c>
    </row>
    <row r="40" spans="1:62" s="4" customFormat="1" ht="15" x14ac:dyDescent="0.2">
      <c r="A40" s="1457"/>
      <c r="B40" s="685"/>
      <c r="C40" s="685"/>
      <c r="D40" s="1457"/>
      <c r="E40" s="685"/>
      <c r="F40" s="1458"/>
      <c r="G40" s="1464">
        <v>6</v>
      </c>
      <c r="H40" s="657" t="s">
        <v>1122</v>
      </c>
      <c r="I40" s="525"/>
      <c r="J40" s="1417"/>
      <c r="K40" s="1058"/>
      <c r="L40" s="1057"/>
      <c r="M40" s="1057"/>
      <c r="N40" s="1365"/>
      <c r="O40" s="1366"/>
      <c r="P40" s="1366"/>
      <c r="Q40" s="1058"/>
      <c r="R40" s="1057"/>
      <c r="S40" s="1059"/>
      <c r="T40" s="1058"/>
      <c r="U40" s="1058"/>
      <c r="V40" s="1058"/>
      <c r="W40" s="1059"/>
      <c r="X40" s="1060"/>
      <c r="Y40" s="1060"/>
      <c r="Z40" s="1367"/>
      <c r="AA40" s="1057"/>
      <c r="AB40" s="1057"/>
      <c r="AC40" s="1365"/>
      <c r="AD40" s="1057"/>
      <c r="AE40" s="1365"/>
      <c r="AF40" s="1057"/>
      <c r="AG40" s="1365"/>
      <c r="AH40" s="1057"/>
      <c r="AI40" s="1365"/>
      <c r="AJ40" s="1057"/>
      <c r="AK40" s="1365"/>
      <c r="AL40" s="1057"/>
      <c r="AM40" s="1365"/>
      <c r="AN40" s="1057"/>
      <c r="AO40" s="1365"/>
      <c r="AP40" s="1057"/>
      <c r="AQ40" s="1365"/>
      <c r="AR40" s="1057"/>
      <c r="AS40" s="1365"/>
      <c r="AT40" s="1057"/>
      <c r="AU40" s="1365"/>
      <c r="AV40" s="1057"/>
      <c r="AW40" s="1365"/>
      <c r="AX40" s="1057"/>
      <c r="AY40" s="1365"/>
      <c r="AZ40" s="1368"/>
      <c r="BA40" s="1490"/>
      <c r="BB40" s="1491"/>
      <c r="BC40" s="1057"/>
      <c r="BD40" s="1057"/>
      <c r="BE40" s="1368"/>
      <c r="BF40" s="1057"/>
      <c r="BG40" s="1365"/>
      <c r="BH40" s="1057"/>
      <c r="BI40" s="1365"/>
      <c r="BJ40" s="1369"/>
    </row>
    <row r="41" spans="1:62" s="20" customFormat="1" ht="128.25" x14ac:dyDescent="0.2">
      <c r="A41" s="1457"/>
      <c r="B41" s="685"/>
      <c r="C41" s="685"/>
      <c r="D41" s="1457"/>
      <c r="E41" s="685"/>
      <c r="F41" s="1458"/>
      <c r="G41" s="685"/>
      <c r="H41" s="685"/>
      <c r="I41" s="685"/>
      <c r="J41" s="2409">
        <v>31</v>
      </c>
      <c r="K41" s="2574" t="s">
        <v>1123</v>
      </c>
      <c r="L41" s="2415" t="s">
        <v>19</v>
      </c>
      <c r="M41" s="2409">
        <v>4</v>
      </c>
      <c r="N41" s="1474">
        <v>4</v>
      </c>
      <c r="O41" s="2600" t="s">
        <v>1124</v>
      </c>
      <c r="P41" s="2707">
        <v>75</v>
      </c>
      <c r="Q41" s="3054" t="s">
        <v>1125</v>
      </c>
      <c r="R41" s="2257">
        <f>W41/$S$41</f>
        <v>0.10526315789473684</v>
      </c>
      <c r="S41" s="3910">
        <v>190000000</v>
      </c>
      <c r="T41" s="2605" t="s">
        <v>1126</v>
      </c>
      <c r="U41" s="1418" t="s">
        <v>1127</v>
      </c>
      <c r="V41" s="2541" t="s">
        <v>1128</v>
      </c>
      <c r="W41" s="2387">
        <v>20000000</v>
      </c>
      <c r="X41" s="1801">
        <v>20000000</v>
      </c>
      <c r="Y41" s="1797">
        <v>20000000</v>
      </c>
      <c r="Z41" s="1419">
        <v>20</v>
      </c>
      <c r="AA41" s="2415" t="s">
        <v>66</v>
      </c>
      <c r="AB41" s="3902"/>
      <c r="AC41" s="3900"/>
      <c r="AD41" s="3902"/>
      <c r="AE41" s="3900"/>
      <c r="AF41" s="3902"/>
      <c r="AG41" s="3900"/>
      <c r="AH41" s="2885">
        <v>300</v>
      </c>
      <c r="AI41" s="3896">
        <v>300</v>
      </c>
      <c r="AJ41" s="2885">
        <v>1638</v>
      </c>
      <c r="AK41" s="3896">
        <v>1638</v>
      </c>
      <c r="AL41" s="2892">
        <v>100</v>
      </c>
      <c r="AM41" s="2898">
        <v>107</v>
      </c>
      <c r="AN41" s="3898"/>
      <c r="AO41" s="2927"/>
      <c r="AP41" s="3902"/>
      <c r="AQ41" s="3900"/>
      <c r="AR41" s="3902"/>
      <c r="AS41" s="3900"/>
      <c r="AT41" s="3902"/>
      <c r="AU41" s="3900"/>
      <c r="AV41" s="3902"/>
      <c r="AW41" s="3900"/>
      <c r="AX41" s="3902"/>
      <c r="AY41" s="3900"/>
      <c r="AZ41" s="2817">
        <v>9</v>
      </c>
      <c r="BA41" s="3904">
        <f>SUM(X41:X44)</f>
        <v>151270386</v>
      </c>
      <c r="BB41" s="3906">
        <f>SUM(Y41:Y44)</f>
        <v>151270386</v>
      </c>
      <c r="BC41" s="3347">
        <f>BB41/BA41</f>
        <v>1</v>
      </c>
      <c r="BD41" s="3891">
        <v>20</v>
      </c>
      <c r="BE41" s="2581" t="s">
        <v>1129</v>
      </c>
      <c r="BF41" s="3439">
        <v>42629</v>
      </c>
      <c r="BG41" s="3439">
        <v>42629</v>
      </c>
      <c r="BH41" s="3895">
        <v>42724</v>
      </c>
      <c r="BI41" s="3933">
        <v>42724</v>
      </c>
      <c r="BJ41" s="2600" t="s">
        <v>1071</v>
      </c>
    </row>
    <row r="42" spans="1:62" s="20" customFormat="1" ht="72.75" customHeight="1" x14ac:dyDescent="0.2">
      <c r="A42" s="1457"/>
      <c r="B42" s="685"/>
      <c r="C42" s="685"/>
      <c r="D42" s="1457"/>
      <c r="E42" s="685"/>
      <c r="F42" s="1458"/>
      <c r="G42" s="685"/>
      <c r="H42" s="685"/>
      <c r="I42" s="685"/>
      <c r="J42" s="2409">
        <v>32</v>
      </c>
      <c r="K42" s="2574" t="s">
        <v>1130</v>
      </c>
      <c r="L42" s="2415" t="s">
        <v>19</v>
      </c>
      <c r="M42" s="2409">
        <v>15</v>
      </c>
      <c r="N42" s="2404">
        <v>15</v>
      </c>
      <c r="O42" s="2601"/>
      <c r="P42" s="2708"/>
      <c r="Q42" s="3055"/>
      <c r="R42" s="2257">
        <f t="shared" ref="R42:R44" si="0">W42/$S$41</f>
        <v>0.78947368421052633</v>
      </c>
      <c r="S42" s="3911"/>
      <c r="T42" s="2987"/>
      <c r="U42" s="3936" t="s">
        <v>1131</v>
      </c>
      <c r="V42" s="2129" t="s">
        <v>1132</v>
      </c>
      <c r="W42" s="2387">
        <v>150000000</v>
      </c>
      <c r="X42" s="1801">
        <v>111270386</v>
      </c>
      <c r="Y42" s="1797">
        <v>111270386</v>
      </c>
      <c r="Z42" s="1419">
        <v>20</v>
      </c>
      <c r="AA42" s="2415" t="s">
        <v>66</v>
      </c>
      <c r="AB42" s="3928"/>
      <c r="AC42" s="3927"/>
      <c r="AD42" s="3928"/>
      <c r="AE42" s="3927"/>
      <c r="AF42" s="3928"/>
      <c r="AG42" s="3927"/>
      <c r="AH42" s="2885"/>
      <c r="AI42" s="3896"/>
      <c r="AJ42" s="2885"/>
      <c r="AK42" s="3896"/>
      <c r="AL42" s="2893"/>
      <c r="AM42" s="2890"/>
      <c r="AN42" s="3934"/>
      <c r="AO42" s="3917"/>
      <c r="AP42" s="3928"/>
      <c r="AQ42" s="3927"/>
      <c r="AR42" s="3928"/>
      <c r="AS42" s="3927"/>
      <c r="AT42" s="3928"/>
      <c r="AU42" s="3927"/>
      <c r="AV42" s="3928"/>
      <c r="AW42" s="3927"/>
      <c r="AX42" s="3928"/>
      <c r="AY42" s="3927"/>
      <c r="AZ42" s="2818"/>
      <c r="BA42" s="3929"/>
      <c r="BB42" s="3930"/>
      <c r="BC42" s="3348"/>
      <c r="BD42" s="3926"/>
      <c r="BE42" s="2582"/>
      <c r="BF42" s="3926"/>
      <c r="BG42" s="3926"/>
      <c r="BH42" s="3932"/>
      <c r="BI42" s="3914"/>
      <c r="BJ42" s="2601"/>
    </row>
    <row r="43" spans="1:62" s="20" customFormat="1" ht="96.75" customHeight="1" x14ac:dyDescent="0.2">
      <c r="A43" s="1457"/>
      <c r="B43" s="685"/>
      <c r="C43" s="685"/>
      <c r="D43" s="1457"/>
      <c r="E43" s="685"/>
      <c r="F43" s="1458"/>
      <c r="G43" s="685"/>
      <c r="H43" s="685"/>
      <c r="I43" s="685"/>
      <c r="J43" s="2409">
        <v>33</v>
      </c>
      <c r="K43" s="2574" t="s">
        <v>1133</v>
      </c>
      <c r="L43" s="2415" t="s">
        <v>19</v>
      </c>
      <c r="M43" s="2409">
        <v>200</v>
      </c>
      <c r="N43" s="2404">
        <v>200</v>
      </c>
      <c r="O43" s="2601"/>
      <c r="P43" s="2708"/>
      <c r="Q43" s="3055"/>
      <c r="R43" s="2257">
        <f t="shared" si="0"/>
        <v>5.2631578947368418E-2</v>
      </c>
      <c r="S43" s="3911"/>
      <c r="T43" s="2987"/>
      <c r="U43" s="3937"/>
      <c r="V43" s="2129" t="s">
        <v>1134</v>
      </c>
      <c r="W43" s="2387">
        <v>10000000</v>
      </c>
      <c r="X43" s="1801">
        <v>10000000</v>
      </c>
      <c r="Y43" s="1797">
        <v>10000000</v>
      </c>
      <c r="Z43" s="1419">
        <v>20</v>
      </c>
      <c r="AA43" s="2415" t="s">
        <v>66</v>
      </c>
      <c r="AB43" s="3928"/>
      <c r="AC43" s="3927"/>
      <c r="AD43" s="3928"/>
      <c r="AE43" s="3927"/>
      <c r="AF43" s="3928"/>
      <c r="AG43" s="3927"/>
      <c r="AH43" s="2885"/>
      <c r="AI43" s="3896"/>
      <c r="AJ43" s="2885"/>
      <c r="AK43" s="3896"/>
      <c r="AL43" s="2893"/>
      <c r="AM43" s="2890"/>
      <c r="AN43" s="3934"/>
      <c r="AO43" s="3917"/>
      <c r="AP43" s="3928"/>
      <c r="AQ43" s="3927"/>
      <c r="AR43" s="3928"/>
      <c r="AS43" s="3927"/>
      <c r="AT43" s="3928"/>
      <c r="AU43" s="3927"/>
      <c r="AV43" s="3928"/>
      <c r="AW43" s="3927"/>
      <c r="AX43" s="3928"/>
      <c r="AY43" s="3927"/>
      <c r="AZ43" s="2818"/>
      <c r="BA43" s="3929"/>
      <c r="BB43" s="3930"/>
      <c r="BC43" s="3348"/>
      <c r="BD43" s="3926"/>
      <c r="BE43" s="2582"/>
      <c r="BF43" s="3926"/>
      <c r="BG43" s="3926"/>
      <c r="BH43" s="3932"/>
      <c r="BI43" s="3914"/>
      <c r="BJ43" s="2601"/>
    </row>
    <row r="44" spans="1:62" s="20" customFormat="1" ht="159" customHeight="1" x14ac:dyDescent="0.2">
      <c r="A44" s="1457"/>
      <c r="B44" s="685"/>
      <c r="C44" s="685"/>
      <c r="D44" s="1457"/>
      <c r="E44" s="685"/>
      <c r="F44" s="1458"/>
      <c r="G44" s="685"/>
      <c r="H44" s="685"/>
      <c r="I44" s="685"/>
      <c r="J44" s="2397">
        <v>34</v>
      </c>
      <c r="K44" s="2575" t="s">
        <v>1135</v>
      </c>
      <c r="L44" s="2403" t="s">
        <v>19</v>
      </c>
      <c r="M44" s="2397">
        <v>400</v>
      </c>
      <c r="N44" s="2155">
        <v>400</v>
      </c>
      <c r="O44" s="2601"/>
      <c r="P44" s="2708"/>
      <c r="Q44" s="3055"/>
      <c r="R44" s="2257">
        <f t="shared" si="0"/>
        <v>5.2631578947368418E-2</v>
      </c>
      <c r="S44" s="3911"/>
      <c r="T44" s="2987"/>
      <c r="U44" s="1420" t="s">
        <v>1136</v>
      </c>
      <c r="V44" s="2130" t="s">
        <v>1137</v>
      </c>
      <c r="W44" s="2515">
        <v>10000000</v>
      </c>
      <c r="X44" s="1802">
        <v>10000000</v>
      </c>
      <c r="Y44" s="1803">
        <v>10000000</v>
      </c>
      <c r="Z44" s="2412">
        <v>20</v>
      </c>
      <c r="AA44" s="2403" t="s">
        <v>66</v>
      </c>
      <c r="AB44" s="3928"/>
      <c r="AC44" s="3927"/>
      <c r="AD44" s="3928"/>
      <c r="AE44" s="3927"/>
      <c r="AF44" s="3928"/>
      <c r="AG44" s="3927"/>
      <c r="AH44" s="2892"/>
      <c r="AI44" s="2898"/>
      <c r="AJ44" s="2892"/>
      <c r="AK44" s="2898"/>
      <c r="AL44" s="2893"/>
      <c r="AM44" s="2890"/>
      <c r="AN44" s="3934"/>
      <c r="AO44" s="3917"/>
      <c r="AP44" s="3928"/>
      <c r="AQ44" s="3927"/>
      <c r="AR44" s="3928"/>
      <c r="AS44" s="3927"/>
      <c r="AT44" s="3928"/>
      <c r="AU44" s="3927"/>
      <c r="AV44" s="3928"/>
      <c r="AW44" s="3927"/>
      <c r="AX44" s="3928"/>
      <c r="AY44" s="3927"/>
      <c r="AZ44" s="2818"/>
      <c r="BA44" s="3929"/>
      <c r="BB44" s="3930"/>
      <c r="BC44" s="3348"/>
      <c r="BD44" s="3926"/>
      <c r="BE44" s="2582"/>
      <c r="BF44" s="3926"/>
      <c r="BG44" s="3926"/>
      <c r="BH44" s="3932"/>
      <c r="BI44" s="3914"/>
      <c r="BJ44" s="2601"/>
    </row>
    <row r="45" spans="1:62" s="4" customFormat="1" ht="163.5" customHeight="1" x14ac:dyDescent="0.2">
      <c r="A45" s="1457"/>
      <c r="B45" s="685"/>
      <c r="C45" s="685"/>
      <c r="D45" s="1457"/>
      <c r="E45" s="685"/>
      <c r="F45" s="1458"/>
      <c r="G45" s="685"/>
      <c r="H45" s="685"/>
      <c r="I45" s="685"/>
      <c r="J45" s="2384">
        <v>31</v>
      </c>
      <c r="K45" s="2576" t="s">
        <v>1123</v>
      </c>
      <c r="L45" s="2383" t="s">
        <v>19</v>
      </c>
      <c r="M45" s="2384">
        <v>4</v>
      </c>
      <c r="N45" s="2405">
        <v>4</v>
      </c>
      <c r="O45" s="2107" t="s">
        <v>1138</v>
      </c>
      <c r="P45" s="2107">
        <v>74</v>
      </c>
      <c r="Q45" s="2386" t="s">
        <v>1139</v>
      </c>
      <c r="R45" s="1386">
        <v>1</v>
      </c>
      <c r="S45" s="2387">
        <v>90000000</v>
      </c>
      <c r="T45" s="2386" t="s">
        <v>1140</v>
      </c>
      <c r="U45" s="2386" t="s">
        <v>1141</v>
      </c>
      <c r="V45" s="2386" t="s">
        <v>1063</v>
      </c>
      <c r="W45" s="2387">
        <v>90000000</v>
      </c>
      <c r="X45" s="1801">
        <v>90000000</v>
      </c>
      <c r="Y45" s="1797">
        <v>90000000</v>
      </c>
      <c r="Z45" s="1414">
        <v>20</v>
      </c>
      <c r="AA45" s="2383" t="s">
        <v>66</v>
      </c>
      <c r="AB45" s="1388">
        <v>7824</v>
      </c>
      <c r="AC45" s="1527">
        <v>6963</v>
      </c>
      <c r="AD45" s="2177">
        <v>8808</v>
      </c>
      <c r="AE45" s="2404">
        <v>7839</v>
      </c>
      <c r="AF45" s="1388">
        <v>3361</v>
      </c>
      <c r="AG45" s="1527">
        <v>2991</v>
      </c>
      <c r="AH45" s="1388">
        <v>12320</v>
      </c>
      <c r="AI45" s="1529">
        <v>11854</v>
      </c>
      <c r="AJ45" s="1421">
        <v>27112</v>
      </c>
      <c r="AK45" s="1529">
        <v>24129</v>
      </c>
      <c r="AL45" s="1388">
        <v>9933</v>
      </c>
      <c r="AM45" s="1527">
        <v>8840</v>
      </c>
      <c r="AN45" s="1422"/>
      <c r="AO45" s="1423"/>
      <c r="AP45" s="677"/>
      <c r="AQ45" s="678"/>
      <c r="AR45" s="677"/>
      <c r="AS45" s="678"/>
      <c r="AT45" s="677"/>
      <c r="AU45" s="678"/>
      <c r="AV45" s="677"/>
      <c r="AW45" s="678"/>
      <c r="AX45" s="677"/>
      <c r="AY45" s="678"/>
      <c r="AZ45" s="2169">
        <v>0</v>
      </c>
      <c r="BA45" s="1494">
        <v>90000000</v>
      </c>
      <c r="BB45" s="1495">
        <v>90000000</v>
      </c>
      <c r="BC45" s="1424">
        <f>+X45/W45</f>
        <v>1</v>
      </c>
      <c r="BD45" s="2489">
        <v>20</v>
      </c>
      <c r="BE45" s="1391" t="s">
        <v>1129</v>
      </c>
      <c r="BF45" s="2510"/>
      <c r="BG45" s="1361"/>
      <c r="BH45" s="2510"/>
      <c r="BI45" s="1392"/>
      <c r="BJ45" s="2389" t="s">
        <v>1071</v>
      </c>
    </row>
    <row r="46" spans="1:62" s="4" customFormat="1" ht="33" customHeight="1" x14ac:dyDescent="0.2">
      <c r="A46" s="1457"/>
      <c r="B46" s="685"/>
      <c r="C46" s="685"/>
      <c r="D46" s="1457"/>
      <c r="E46" s="685"/>
      <c r="F46" s="1466"/>
      <c r="G46" s="1465">
        <v>7</v>
      </c>
      <c r="H46" s="657" t="s">
        <v>1142</v>
      </c>
      <c r="I46" s="525"/>
      <c r="J46" s="2067"/>
      <c r="K46" s="1425"/>
      <c r="L46" s="1363"/>
      <c r="M46" s="1417"/>
      <c r="N46" s="1365"/>
      <c r="O46" s="1366"/>
      <c r="P46" s="1366"/>
      <c r="Q46" s="1058"/>
      <c r="R46" s="1057"/>
      <c r="S46" s="1059"/>
      <c r="T46" s="1058"/>
      <c r="U46" s="1058"/>
      <c r="V46" s="1058"/>
      <c r="W46" s="1059"/>
      <c r="X46" s="1060"/>
      <c r="Y46" s="1060"/>
      <c r="Z46" s="1367"/>
      <c r="AA46" s="1057"/>
      <c r="AB46" s="1057"/>
      <c r="AC46" s="1365"/>
      <c r="AD46" s="1057"/>
      <c r="AE46" s="1365"/>
      <c r="AF46" s="1057"/>
      <c r="AG46" s="1365"/>
      <c r="AH46" s="1057"/>
      <c r="AI46" s="1365"/>
      <c r="AJ46" s="1057"/>
      <c r="AK46" s="1365"/>
      <c r="AL46" s="1057"/>
      <c r="AM46" s="1365"/>
      <c r="AN46" s="1057"/>
      <c r="AO46" s="1365"/>
      <c r="AP46" s="1057"/>
      <c r="AQ46" s="1365"/>
      <c r="AR46" s="1057"/>
      <c r="AS46" s="1365"/>
      <c r="AT46" s="1057"/>
      <c r="AU46" s="1365"/>
      <c r="AV46" s="1057"/>
      <c r="AW46" s="1365"/>
      <c r="AX46" s="1057"/>
      <c r="AY46" s="1365"/>
      <c r="AZ46" s="1368"/>
      <c r="BA46" s="1490"/>
      <c r="BB46" s="1491"/>
      <c r="BC46" s="1057"/>
      <c r="BD46" s="1057"/>
      <c r="BE46" s="1368"/>
      <c r="BF46" s="1057"/>
      <c r="BG46" s="1365"/>
      <c r="BH46" s="1057"/>
      <c r="BI46" s="1365"/>
      <c r="BJ46" s="1369"/>
    </row>
    <row r="47" spans="1:62" s="20" customFormat="1" ht="119.25" customHeight="1" x14ac:dyDescent="0.2">
      <c r="A47" s="1457"/>
      <c r="B47" s="685"/>
      <c r="C47" s="685"/>
      <c r="D47" s="1457"/>
      <c r="E47" s="685"/>
      <c r="F47" s="1458"/>
      <c r="G47" s="1455"/>
      <c r="H47" s="1455"/>
      <c r="I47" s="1456"/>
      <c r="J47" s="2135">
        <v>35</v>
      </c>
      <c r="K47" s="1348" t="s">
        <v>1143</v>
      </c>
      <c r="L47" s="2415" t="s">
        <v>19</v>
      </c>
      <c r="M47" s="2409">
        <v>5</v>
      </c>
      <c r="N47" s="2385">
        <v>5</v>
      </c>
      <c r="O47" s="2600" t="s">
        <v>1144</v>
      </c>
      <c r="P47" s="2600">
        <v>78</v>
      </c>
      <c r="Q47" s="3055" t="s">
        <v>1145</v>
      </c>
      <c r="R47" s="2258">
        <f>W47/S47</f>
        <v>0.5</v>
      </c>
      <c r="S47" s="3938">
        <v>56000000</v>
      </c>
      <c r="T47" s="2987" t="s">
        <v>1146</v>
      </c>
      <c r="U47" s="2402" t="s">
        <v>1147</v>
      </c>
      <c r="V47" s="1426" t="s">
        <v>1148</v>
      </c>
      <c r="W47" s="1048">
        <v>28000000</v>
      </c>
      <c r="X47" s="1799">
        <v>26310834</v>
      </c>
      <c r="Y47" s="1799">
        <v>26310834</v>
      </c>
      <c r="Z47" s="3921" t="s">
        <v>1149</v>
      </c>
      <c r="AA47" s="2429" t="s">
        <v>66</v>
      </c>
      <c r="AB47" s="3916">
        <v>0</v>
      </c>
      <c r="AC47" s="2927"/>
      <c r="AD47" s="3915">
        <v>0</v>
      </c>
      <c r="AE47" s="3917"/>
      <c r="AF47" s="3915">
        <v>0</v>
      </c>
      <c r="AG47" s="3917"/>
      <c r="AH47" s="3915">
        <v>16</v>
      </c>
      <c r="AI47" s="3918"/>
      <c r="AJ47" s="3919">
        <v>46</v>
      </c>
      <c r="AK47" s="3918"/>
      <c r="AL47" s="3920">
        <v>3</v>
      </c>
      <c r="AM47" s="2841"/>
      <c r="AN47" s="3920"/>
      <c r="AO47" s="3917"/>
      <c r="AP47" s="3931"/>
      <c r="AQ47" s="3900"/>
      <c r="AR47" s="3928"/>
      <c r="AS47" s="3900"/>
      <c r="AT47" s="3928"/>
      <c r="AU47" s="3900"/>
      <c r="AV47" s="3928"/>
      <c r="AW47" s="3900"/>
      <c r="AX47" s="3928"/>
      <c r="AY47" s="3900"/>
      <c r="AZ47" s="2817">
        <v>7</v>
      </c>
      <c r="BA47" s="3904">
        <v>52621667</v>
      </c>
      <c r="BB47" s="3906">
        <f>+Y47+Y48</f>
        <v>52621667</v>
      </c>
      <c r="BC47" s="3347">
        <f>BB47/BA47</f>
        <v>1</v>
      </c>
      <c r="BD47" s="3891">
        <v>20</v>
      </c>
      <c r="BE47" s="2581" t="s">
        <v>1129</v>
      </c>
      <c r="BF47" s="2818" t="s">
        <v>1150</v>
      </c>
      <c r="BG47" s="2818" t="s">
        <v>1150</v>
      </c>
      <c r="BH47" s="3914">
        <v>42724</v>
      </c>
      <c r="BI47" s="3914">
        <v>42724</v>
      </c>
      <c r="BJ47" s="2601" t="s">
        <v>1071</v>
      </c>
    </row>
    <row r="48" spans="1:62" s="20" customFormat="1" ht="70.5" customHeight="1" x14ac:dyDescent="0.2">
      <c r="A48" s="1457"/>
      <c r="B48" s="685"/>
      <c r="C48" s="685"/>
      <c r="D48" s="1457"/>
      <c r="E48" s="685"/>
      <c r="F48" s="1458"/>
      <c r="G48" s="685"/>
      <c r="H48" s="685"/>
      <c r="I48" s="1458"/>
      <c r="J48" s="2136">
        <v>36</v>
      </c>
      <c r="K48" s="2575" t="s">
        <v>1151</v>
      </c>
      <c r="L48" s="2403" t="s">
        <v>19</v>
      </c>
      <c r="M48" s="2406">
        <v>1</v>
      </c>
      <c r="N48" s="2157">
        <v>1</v>
      </c>
      <c r="O48" s="2636"/>
      <c r="P48" s="2601"/>
      <c r="Q48" s="3055"/>
      <c r="R48" s="2258">
        <f>W48/S47</f>
        <v>0.5</v>
      </c>
      <c r="S48" s="3939"/>
      <c r="T48" s="3940"/>
      <c r="U48" s="2542" t="s">
        <v>1152</v>
      </c>
      <c r="V48" s="1427" t="s">
        <v>1153</v>
      </c>
      <c r="W48" s="1048">
        <v>28000000</v>
      </c>
      <c r="X48" s="1800">
        <v>26310833</v>
      </c>
      <c r="Y48" s="1800">
        <v>26310833</v>
      </c>
      <c r="Z48" s="3922"/>
      <c r="AA48" s="2403" t="s">
        <v>66</v>
      </c>
      <c r="AB48" s="3916"/>
      <c r="AC48" s="3917"/>
      <c r="AD48" s="3916"/>
      <c r="AE48" s="3917"/>
      <c r="AF48" s="3916"/>
      <c r="AG48" s="3917"/>
      <c r="AH48" s="3916"/>
      <c r="AI48" s="2840"/>
      <c r="AJ48" s="3920"/>
      <c r="AK48" s="2840"/>
      <c r="AL48" s="3935"/>
      <c r="AM48" s="2841"/>
      <c r="AN48" s="3935"/>
      <c r="AO48" s="3917"/>
      <c r="AP48" s="3931"/>
      <c r="AQ48" s="3927"/>
      <c r="AR48" s="3928"/>
      <c r="AS48" s="3927"/>
      <c r="AT48" s="3928"/>
      <c r="AU48" s="3927"/>
      <c r="AV48" s="3928"/>
      <c r="AW48" s="3927"/>
      <c r="AX48" s="3928"/>
      <c r="AY48" s="3927"/>
      <c r="AZ48" s="2818"/>
      <c r="BA48" s="3929"/>
      <c r="BB48" s="3930"/>
      <c r="BC48" s="3348"/>
      <c r="BD48" s="3926"/>
      <c r="BE48" s="2582"/>
      <c r="BF48" s="2818"/>
      <c r="BG48" s="2818"/>
      <c r="BH48" s="3914"/>
      <c r="BI48" s="3914"/>
      <c r="BJ48" s="2601"/>
    </row>
    <row r="49" spans="1:62" s="4" customFormat="1" ht="409.5" customHeight="1" x14ac:dyDescent="0.2">
      <c r="A49" s="1457"/>
      <c r="B49" s="685"/>
      <c r="C49" s="685"/>
      <c r="D49" s="1457"/>
      <c r="E49" s="685"/>
      <c r="F49" s="1458"/>
      <c r="G49" s="685"/>
      <c r="H49" s="685"/>
      <c r="I49" s="1458"/>
      <c r="J49" s="2378">
        <v>35</v>
      </c>
      <c r="K49" s="2576" t="s">
        <v>1143</v>
      </c>
      <c r="L49" s="2383" t="s">
        <v>19</v>
      </c>
      <c r="M49" s="2409">
        <v>5</v>
      </c>
      <c r="N49" s="2385">
        <v>5</v>
      </c>
      <c r="O49" s="2107" t="s">
        <v>1154</v>
      </c>
      <c r="P49" s="2107">
        <v>76</v>
      </c>
      <c r="Q49" s="2386" t="s">
        <v>1155</v>
      </c>
      <c r="R49" s="1386">
        <v>1</v>
      </c>
      <c r="S49" s="1428">
        <v>79000000</v>
      </c>
      <c r="T49" s="2386" t="s">
        <v>1120</v>
      </c>
      <c r="U49" s="2452" t="s">
        <v>1156</v>
      </c>
      <c r="V49" s="2452" t="s">
        <v>1063</v>
      </c>
      <c r="W49" s="2387">
        <v>79000000</v>
      </c>
      <c r="X49" s="1801">
        <v>75266667</v>
      </c>
      <c r="Y49" s="1801">
        <v>75266667</v>
      </c>
      <c r="Z49" s="1414" t="s">
        <v>1157</v>
      </c>
      <c r="AA49" s="2383" t="s">
        <v>66</v>
      </c>
      <c r="AB49" s="1388">
        <v>7824</v>
      </c>
      <c r="AC49" s="1527">
        <v>5942</v>
      </c>
      <c r="AD49" s="1388">
        <v>8808</v>
      </c>
      <c r="AE49" s="1527">
        <v>6680</v>
      </c>
      <c r="AF49" s="1388">
        <v>3361</v>
      </c>
      <c r="AG49" s="1527">
        <v>2552</v>
      </c>
      <c r="AH49" s="1388">
        <v>9621</v>
      </c>
      <c r="AI49" s="1528">
        <v>7307</v>
      </c>
      <c r="AJ49" s="1415">
        <v>29811</v>
      </c>
      <c r="AK49" s="1528">
        <v>22641</v>
      </c>
      <c r="AL49" s="1388">
        <v>9933</v>
      </c>
      <c r="AM49" s="1527">
        <v>7544</v>
      </c>
      <c r="AN49" s="1422"/>
      <c r="AO49" s="678"/>
      <c r="AP49" s="677"/>
      <c r="AQ49" s="678"/>
      <c r="AR49" s="677"/>
      <c r="AS49" s="678"/>
      <c r="AT49" s="677"/>
      <c r="AU49" s="678"/>
      <c r="AV49" s="677"/>
      <c r="AW49" s="678"/>
      <c r="AX49" s="677"/>
      <c r="AY49" s="678"/>
      <c r="AZ49" s="2169">
        <v>10</v>
      </c>
      <c r="BA49" s="1496">
        <v>75266667</v>
      </c>
      <c r="BB49" s="1497">
        <f>+Y49</f>
        <v>75266667</v>
      </c>
      <c r="BC49" s="2272">
        <f>BB49/BA49</f>
        <v>1</v>
      </c>
      <c r="BD49" s="2383" t="s">
        <v>1158</v>
      </c>
      <c r="BE49" s="1391" t="s">
        <v>1129</v>
      </c>
      <c r="BF49" s="2510">
        <v>41192</v>
      </c>
      <c r="BG49" s="1361">
        <v>41192</v>
      </c>
      <c r="BH49" s="1361">
        <v>42724</v>
      </c>
      <c r="BI49" s="1392">
        <v>42724</v>
      </c>
      <c r="BJ49" s="2389" t="s">
        <v>1071</v>
      </c>
    </row>
    <row r="50" spans="1:62" s="4" customFormat="1" ht="150.75" customHeight="1" x14ac:dyDescent="0.2">
      <c r="A50" s="1457"/>
      <c r="B50" s="685"/>
      <c r="C50" s="685"/>
      <c r="D50" s="1457"/>
      <c r="E50" s="685"/>
      <c r="F50" s="1458"/>
      <c r="G50" s="700"/>
      <c r="H50" s="700"/>
      <c r="I50" s="701"/>
      <c r="J50" s="2378">
        <v>35</v>
      </c>
      <c r="K50" s="2576" t="s">
        <v>1143</v>
      </c>
      <c r="L50" s="2383" t="s">
        <v>19</v>
      </c>
      <c r="M50" s="2384">
        <v>5</v>
      </c>
      <c r="N50" s="2385">
        <v>5</v>
      </c>
      <c r="O50" s="2107" t="s">
        <v>1159</v>
      </c>
      <c r="P50" s="2107">
        <v>77</v>
      </c>
      <c r="Q50" s="2386" t="s">
        <v>1160</v>
      </c>
      <c r="R50" s="1386">
        <v>1</v>
      </c>
      <c r="S50" s="1428">
        <v>5000000</v>
      </c>
      <c r="T50" s="2386" t="s">
        <v>1120</v>
      </c>
      <c r="U50" s="2386" t="s">
        <v>1156</v>
      </c>
      <c r="V50" s="2452" t="s">
        <v>1063</v>
      </c>
      <c r="W50" s="2387">
        <v>5000000</v>
      </c>
      <c r="X50" s="1801">
        <v>5000000</v>
      </c>
      <c r="Y50" s="1797">
        <v>5000000</v>
      </c>
      <c r="Z50" s="1414">
        <v>20</v>
      </c>
      <c r="AA50" s="2383" t="s">
        <v>66</v>
      </c>
      <c r="AB50" s="1388">
        <v>7824</v>
      </c>
      <c r="AC50" s="1527"/>
      <c r="AD50" s="1388">
        <v>8080</v>
      </c>
      <c r="AE50" s="2065">
        <v>8808</v>
      </c>
      <c r="AF50" s="1388">
        <v>3361</v>
      </c>
      <c r="AG50" s="2065">
        <v>3361</v>
      </c>
      <c r="AH50" s="1388">
        <v>39432</v>
      </c>
      <c r="AI50" s="2066">
        <v>39432</v>
      </c>
      <c r="AJ50" s="1415"/>
      <c r="AK50" s="1528"/>
      <c r="AL50" s="1388">
        <v>9933</v>
      </c>
      <c r="AM50" s="2065">
        <v>9933</v>
      </c>
      <c r="AN50" s="1388"/>
      <c r="AO50" s="678"/>
      <c r="AP50" s="677"/>
      <c r="AQ50" s="678"/>
      <c r="AR50" s="677"/>
      <c r="AS50" s="678"/>
      <c r="AT50" s="677"/>
      <c r="AU50" s="678"/>
      <c r="AV50" s="677"/>
      <c r="AW50" s="678"/>
      <c r="AX50" s="677"/>
      <c r="AY50" s="678"/>
      <c r="AZ50" s="2169">
        <v>1</v>
      </c>
      <c r="BA50" s="1494">
        <v>5000000</v>
      </c>
      <c r="BB50" s="1495">
        <f>+Y50</f>
        <v>5000000</v>
      </c>
      <c r="BC50" s="1429">
        <f>+X50/W50</f>
        <v>1</v>
      </c>
      <c r="BD50" s="2489">
        <v>20</v>
      </c>
      <c r="BE50" s="1391" t="s">
        <v>1129</v>
      </c>
      <c r="BF50" s="2510">
        <v>41192</v>
      </c>
      <c r="BG50" s="1361">
        <v>41192</v>
      </c>
      <c r="BH50" s="2510">
        <v>42724</v>
      </c>
      <c r="BI50" s="1392">
        <v>42724</v>
      </c>
      <c r="BJ50" s="2389" t="s">
        <v>1071</v>
      </c>
    </row>
    <row r="51" spans="1:62" s="4" customFormat="1" ht="24" customHeight="1" x14ac:dyDescent="0.2">
      <c r="A51" s="1459"/>
      <c r="B51" s="688"/>
      <c r="C51" s="688"/>
      <c r="D51" s="1459"/>
      <c r="E51" s="688"/>
      <c r="F51" s="1460"/>
      <c r="G51" s="1467">
        <v>34</v>
      </c>
      <c r="H51" s="1430" t="s">
        <v>1161</v>
      </c>
      <c r="I51" s="1431"/>
      <c r="J51" s="2068"/>
      <c r="K51" s="1058"/>
      <c r="L51" s="1057"/>
      <c r="M51" s="1057"/>
      <c r="N51" s="1365"/>
      <c r="O51" s="1366"/>
      <c r="P51" s="1366"/>
      <c r="Q51" s="1058"/>
      <c r="R51" s="1057"/>
      <c r="S51" s="1059"/>
      <c r="T51" s="1058"/>
      <c r="U51" s="1058"/>
      <c r="V51" s="1058"/>
      <c r="W51" s="1059"/>
      <c r="X51" s="1060"/>
      <c r="Y51" s="1060"/>
      <c r="Z51" s="1367"/>
      <c r="AA51" s="1057"/>
      <c r="AB51" s="1057"/>
      <c r="AC51" s="1365"/>
      <c r="AD51" s="1057"/>
      <c r="AE51" s="1365"/>
      <c r="AF51" s="1057"/>
      <c r="AG51" s="1365"/>
      <c r="AH51" s="1057"/>
      <c r="AI51" s="1365"/>
      <c r="AJ51" s="1057"/>
      <c r="AK51" s="1365"/>
      <c r="AL51" s="1057"/>
      <c r="AM51" s="1365"/>
      <c r="AN51" s="1057"/>
      <c r="AO51" s="1365"/>
      <c r="AP51" s="1057"/>
      <c r="AQ51" s="1365"/>
      <c r="AR51" s="1057"/>
      <c r="AS51" s="1365"/>
      <c r="AT51" s="1057"/>
      <c r="AU51" s="1365"/>
      <c r="AV51" s="1057"/>
      <c r="AW51" s="1365"/>
      <c r="AX51" s="1057"/>
      <c r="AY51" s="1365"/>
      <c r="AZ51" s="1368"/>
      <c r="BA51" s="1490"/>
      <c r="BB51" s="1491"/>
      <c r="BC51" s="1057"/>
      <c r="BD51" s="1057"/>
      <c r="BE51" s="1368"/>
      <c r="BF51" s="1057"/>
      <c r="BG51" s="1365"/>
      <c r="BH51" s="1057"/>
      <c r="BI51" s="1365"/>
      <c r="BJ51" s="1369"/>
    </row>
    <row r="52" spans="1:62" s="20" customFormat="1" ht="121.5" customHeight="1" x14ac:dyDescent="0.2">
      <c r="A52" s="1459"/>
      <c r="B52" s="688"/>
      <c r="C52" s="688"/>
      <c r="D52" s="1459"/>
      <c r="E52" s="688"/>
      <c r="F52" s="688"/>
      <c r="G52" s="1468"/>
      <c r="H52" s="1469"/>
      <c r="I52" s="1470"/>
      <c r="J52" s="3923">
        <v>122</v>
      </c>
      <c r="K52" s="2605" t="s">
        <v>1162</v>
      </c>
      <c r="L52" s="3891" t="s">
        <v>19</v>
      </c>
      <c r="M52" s="3897">
        <v>1</v>
      </c>
      <c r="N52" s="2898">
        <v>1</v>
      </c>
      <c r="O52" s="2600" t="s">
        <v>1163</v>
      </c>
      <c r="P52" s="2600">
        <v>79</v>
      </c>
      <c r="Q52" s="3054" t="s">
        <v>1164</v>
      </c>
      <c r="R52" s="2561">
        <f>W52/$S$52</f>
        <v>0.11918021978021978</v>
      </c>
      <c r="S52" s="3910">
        <v>455000000</v>
      </c>
      <c r="T52" s="2605" t="s">
        <v>1165</v>
      </c>
      <c r="U52" s="1418" t="s">
        <v>1166</v>
      </c>
      <c r="V52" s="2129" t="s">
        <v>1167</v>
      </c>
      <c r="W52" s="2387">
        <v>54227000</v>
      </c>
      <c r="X52" s="3912">
        <f>77451815+10903417</f>
        <v>88355232</v>
      </c>
      <c r="Y52" s="3912">
        <f>77451815+10903417</f>
        <v>88355232</v>
      </c>
      <c r="Z52" s="1419">
        <v>20</v>
      </c>
      <c r="AA52" s="2415" t="s">
        <v>66</v>
      </c>
      <c r="AB52" s="3897">
        <v>20</v>
      </c>
      <c r="AC52" s="3896">
        <v>1975</v>
      </c>
      <c r="AD52" s="2885">
        <v>20</v>
      </c>
      <c r="AE52" s="3896">
        <v>766</v>
      </c>
      <c r="AF52" s="2885">
        <v>20</v>
      </c>
      <c r="AG52" s="3896">
        <v>765</v>
      </c>
      <c r="AH52" s="2885"/>
      <c r="AI52" s="3896">
        <v>0</v>
      </c>
      <c r="AJ52" s="2885">
        <v>20</v>
      </c>
      <c r="AK52" s="3896">
        <v>5500</v>
      </c>
      <c r="AL52" s="2885">
        <v>20</v>
      </c>
      <c r="AM52" s="3896">
        <v>594</v>
      </c>
      <c r="AN52" s="3897"/>
      <c r="AO52" s="3899"/>
      <c r="AP52" s="3901"/>
      <c r="AQ52" s="3899"/>
      <c r="AR52" s="3901"/>
      <c r="AS52" s="3899"/>
      <c r="AT52" s="3901"/>
      <c r="AU52" s="3899"/>
      <c r="AV52" s="3901"/>
      <c r="AW52" s="3899"/>
      <c r="AX52" s="3901"/>
      <c r="AY52" s="3899"/>
      <c r="AZ52" s="2909">
        <v>8</v>
      </c>
      <c r="BA52" s="3903">
        <f>X52+X54+X55</f>
        <v>448355232</v>
      </c>
      <c r="BB52" s="3905">
        <f>Y52+Y54+Y55</f>
        <v>257997576</v>
      </c>
      <c r="BC52" s="3907">
        <f>BB52/BA52</f>
        <v>0.57543117061250215</v>
      </c>
      <c r="BD52" s="3909">
        <v>20</v>
      </c>
      <c r="BE52" s="2683" t="s">
        <v>1115</v>
      </c>
      <c r="BF52" s="3889">
        <v>42656</v>
      </c>
      <c r="BG52" s="3889">
        <v>42656</v>
      </c>
      <c r="BH52" s="3892">
        <v>42724</v>
      </c>
      <c r="BI52" s="3894">
        <v>42724</v>
      </c>
      <c r="BJ52" s="2626" t="s">
        <v>1168</v>
      </c>
    </row>
    <row r="53" spans="1:62" s="20" customFormat="1" ht="80.25" customHeight="1" x14ac:dyDescent="0.2">
      <c r="A53" s="1459"/>
      <c r="B53" s="688"/>
      <c r="C53" s="688"/>
      <c r="D53" s="1459"/>
      <c r="E53" s="688"/>
      <c r="F53" s="688"/>
      <c r="G53" s="1459"/>
      <c r="H53" s="688"/>
      <c r="I53" s="1460"/>
      <c r="J53" s="3924"/>
      <c r="K53" s="2987"/>
      <c r="L53" s="3926"/>
      <c r="M53" s="3897"/>
      <c r="N53" s="2890"/>
      <c r="O53" s="2601"/>
      <c r="P53" s="2601"/>
      <c r="Q53" s="3055"/>
      <c r="R53" s="2561">
        <f t="shared" ref="R53:R55" si="1">W53/$S$52</f>
        <v>8.7912087912087919E-2</v>
      </c>
      <c r="S53" s="3911"/>
      <c r="T53" s="2987"/>
      <c r="U53" s="2475" t="s">
        <v>1169</v>
      </c>
      <c r="V53" s="1432" t="s">
        <v>1170</v>
      </c>
      <c r="W53" s="2387">
        <v>40000000</v>
      </c>
      <c r="X53" s="3913"/>
      <c r="Y53" s="3913"/>
      <c r="Z53" s="1419">
        <v>20</v>
      </c>
      <c r="AA53" s="2415" t="s">
        <v>66</v>
      </c>
      <c r="AB53" s="3897"/>
      <c r="AC53" s="3896"/>
      <c r="AD53" s="2885"/>
      <c r="AE53" s="3896"/>
      <c r="AF53" s="2885"/>
      <c r="AG53" s="3896"/>
      <c r="AH53" s="2885"/>
      <c r="AI53" s="3896"/>
      <c r="AJ53" s="2885"/>
      <c r="AK53" s="3896"/>
      <c r="AL53" s="2885"/>
      <c r="AM53" s="3896"/>
      <c r="AN53" s="3897"/>
      <c r="AO53" s="3899"/>
      <c r="AP53" s="3901"/>
      <c r="AQ53" s="3899"/>
      <c r="AR53" s="3901"/>
      <c r="AS53" s="3899"/>
      <c r="AT53" s="3901"/>
      <c r="AU53" s="3899"/>
      <c r="AV53" s="3901"/>
      <c r="AW53" s="3899"/>
      <c r="AX53" s="3901"/>
      <c r="AY53" s="3899"/>
      <c r="AZ53" s="2909"/>
      <c r="BA53" s="3903"/>
      <c r="BB53" s="3905"/>
      <c r="BC53" s="3907"/>
      <c r="BD53" s="3890"/>
      <c r="BE53" s="2683"/>
      <c r="BF53" s="3890"/>
      <c r="BG53" s="3890"/>
      <c r="BH53" s="3892"/>
      <c r="BI53" s="3894"/>
      <c r="BJ53" s="2626"/>
    </row>
    <row r="54" spans="1:62" s="20" customFormat="1" ht="108" customHeight="1" x14ac:dyDescent="0.2">
      <c r="A54" s="1459"/>
      <c r="B54" s="688"/>
      <c r="C54" s="688"/>
      <c r="D54" s="1459"/>
      <c r="E54" s="688"/>
      <c r="F54" s="688"/>
      <c r="G54" s="1459"/>
      <c r="H54" s="688"/>
      <c r="I54" s="1460"/>
      <c r="J54" s="3925"/>
      <c r="K54" s="2988"/>
      <c r="L54" s="3926"/>
      <c r="M54" s="3897"/>
      <c r="N54" s="2891"/>
      <c r="O54" s="2601"/>
      <c r="P54" s="2601"/>
      <c r="Q54" s="3055"/>
      <c r="R54" s="2561">
        <f t="shared" si="1"/>
        <v>1.698901098901099E-3</v>
      </c>
      <c r="S54" s="3911"/>
      <c r="T54" s="2987"/>
      <c r="U54" s="2475" t="s">
        <v>1171</v>
      </c>
      <c r="V54" s="1418" t="s">
        <v>1172</v>
      </c>
      <c r="W54" s="2387">
        <v>773000</v>
      </c>
      <c r="X54" s="2514">
        <v>0</v>
      </c>
      <c r="Y54" s="2514">
        <v>0</v>
      </c>
      <c r="Z54" s="1419"/>
      <c r="AA54" s="2415"/>
      <c r="AB54" s="3897"/>
      <c r="AC54" s="3896"/>
      <c r="AD54" s="2885"/>
      <c r="AE54" s="3896"/>
      <c r="AF54" s="2885"/>
      <c r="AG54" s="3896"/>
      <c r="AH54" s="2885"/>
      <c r="AI54" s="3896"/>
      <c r="AJ54" s="2885"/>
      <c r="AK54" s="3896"/>
      <c r="AL54" s="2885"/>
      <c r="AM54" s="3896"/>
      <c r="AN54" s="3897"/>
      <c r="AO54" s="3899"/>
      <c r="AP54" s="3901"/>
      <c r="AQ54" s="3899"/>
      <c r="AR54" s="3901"/>
      <c r="AS54" s="3899"/>
      <c r="AT54" s="3901"/>
      <c r="AU54" s="3899"/>
      <c r="AV54" s="3901"/>
      <c r="AW54" s="3899"/>
      <c r="AX54" s="3901"/>
      <c r="AY54" s="3899"/>
      <c r="AZ54" s="2909"/>
      <c r="BA54" s="3903"/>
      <c r="BB54" s="3905"/>
      <c r="BC54" s="3907"/>
      <c r="BD54" s="3890"/>
      <c r="BE54" s="2683"/>
      <c r="BF54" s="3890"/>
      <c r="BG54" s="3890"/>
      <c r="BH54" s="3892"/>
      <c r="BI54" s="3894"/>
      <c r="BJ54" s="2626"/>
    </row>
    <row r="55" spans="1:62" s="20" customFormat="1" ht="111" customHeight="1" x14ac:dyDescent="0.2">
      <c r="A55" s="1459"/>
      <c r="B55" s="688"/>
      <c r="C55" s="688"/>
      <c r="D55" s="1459"/>
      <c r="E55" s="688"/>
      <c r="F55" s="688"/>
      <c r="G55" s="1459"/>
      <c r="H55" s="688"/>
      <c r="I55" s="1460"/>
      <c r="J55" s="2408">
        <v>123</v>
      </c>
      <c r="K55" s="2569" t="s">
        <v>1173</v>
      </c>
      <c r="L55" s="3926"/>
      <c r="M55" s="2398">
        <v>4</v>
      </c>
      <c r="N55" s="2178">
        <v>6</v>
      </c>
      <c r="O55" s="2601"/>
      <c r="P55" s="2601"/>
      <c r="Q55" s="3055"/>
      <c r="R55" s="2561">
        <f t="shared" si="1"/>
        <v>0.79120879120879117</v>
      </c>
      <c r="S55" s="3911"/>
      <c r="T55" s="2987"/>
      <c r="U55" s="1471" t="s">
        <v>1171</v>
      </c>
      <c r="V55" s="2401" t="s">
        <v>1174</v>
      </c>
      <c r="W55" s="2515">
        <v>360000000</v>
      </c>
      <c r="X55" s="2410">
        <v>360000000</v>
      </c>
      <c r="Y55" s="2410">
        <v>169642344</v>
      </c>
      <c r="Z55" s="2412">
        <v>20</v>
      </c>
      <c r="AA55" s="2403" t="s">
        <v>66</v>
      </c>
      <c r="AB55" s="3898"/>
      <c r="AC55" s="2898"/>
      <c r="AD55" s="2892"/>
      <c r="AE55" s="2898"/>
      <c r="AF55" s="2892"/>
      <c r="AG55" s="2898"/>
      <c r="AH55" s="2892"/>
      <c r="AI55" s="2898"/>
      <c r="AJ55" s="2892"/>
      <c r="AK55" s="2898"/>
      <c r="AL55" s="2892"/>
      <c r="AM55" s="2898"/>
      <c r="AN55" s="3898"/>
      <c r="AO55" s="3900"/>
      <c r="AP55" s="3902"/>
      <c r="AQ55" s="3900"/>
      <c r="AR55" s="3902"/>
      <c r="AS55" s="3900"/>
      <c r="AT55" s="3902"/>
      <c r="AU55" s="3900"/>
      <c r="AV55" s="3902"/>
      <c r="AW55" s="3900"/>
      <c r="AX55" s="3902"/>
      <c r="AY55" s="3900"/>
      <c r="AZ55" s="2817"/>
      <c r="BA55" s="3904"/>
      <c r="BB55" s="3906"/>
      <c r="BC55" s="3908"/>
      <c r="BD55" s="3891"/>
      <c r="BE55" s="2581"/>
      <c r="BF55" s="3891"/>
      <c r="BG55" s="3891"/>
      <c r="BH55" s="3893"/>
      <c r="BI55" s="3895"/>
      <c r="BJ55" s="2600"/>
    </row>
    <row r="56" spans="1:62" s="4" customFormat="1" ht="322.5" customHeight="1" x14ac:dyDescent="0.2">
      <c r="A56" s="699"/>
      <c r="B56" s="700"/>
      <c r="C56" s="700"/>
      <c r="D56" s="699"/>
      <c r="E56" s="700"/>
      <c r="F56" s="700"/>
      <c r="G56" s="699"/>
      <c r="H56" s="700"/>
      <c r="I56" s="701"/>
      <c r="J56" s="1472">
        <v>125</v>
      </c>
      <c r="K56" s="2576" t="s">
        <v>1175</v>
      </c>
      <c r="L56" s="2383" t="s">
        <v>19</v>
      </c>
      <c r="M56" s="2409">
        <v>150</v>
      </c>
      <c r="N56" s="2404">
        <v>129</v>
      </c>
      <c r="O56" s="2107" t="s">
        <v>1176</v>
      </c>
      <c r="P56" s="2107">
        <v>80</v>
      </c>
      <c r="Q56" s="2386" t="s">
        <v>1177</v>
      </c>
      <c r="R56" s="2272">
        <v>1</v>
      </c>
      <c r="S56" s="2387">
        <v>5000000</v>
      </c>
      <c r="T56" s="2386" t="s">
        <v>1178</v>
      </c>
      <c r="U56" s="1037" t="s">
        <v>1179</v>
      </c>
      <c r="V56" s="675" t="s">
        <v>1063</v>
      </c>
      <c r="W56" s="2387">
        <v>5000000</v>
      </c>
      <c r="X56" s="1476">
        <v>5000000</v>
      </c>
      <c r="Y56" s="563">
        <v>5000000</v>
      </c>
      <c r="Z56" s="1414">
        <v>20</v>
      </c>
      <c r="AA56" s="2383" t="s">
        <v>66</v>
      </c>
      <c r="AB56" s="1433">
        <v>42</v>
      </c>
      <c r="AC56" s="1434"/>
      <c r="AD56" s="1433">
        <v>56</v>
      </c>
      <c r="AE56" s="1434">
        <v>56</v>
      </c>
      <c r="AF56" s="1435"/>
      <c r="AG56" s="1546"/>
      <c r="AH56" s="1547"/>
      <c r="AI56" s="1546"/>
      <c r="AJ56" s="2176">
        <v>1067</v>
      </c>
      <c r="AK56" s="1434">
        <v>1067</v>
      </c>
      <c r="AL56" s="1435">
        <v>35</v>
      </c>
      <c r="AM56" s="1434">
        <v>35</v>
      </c>
      <c r="AN56" s="1433"/>
      <c r="AO56" s="678"/>
      <c r="AP56" s="677"/>
      <c r="AQ56" s="678"/>
      <c r="AR56" s="677"/>
      <c r="AS56" s="678"/>
      <c r="AT56" s="677"/>
      <c r="AU56" s="678"/>
      <c r="AV56" s="677"/>
      <c r="AW56" s="678"/>
      <c r="AX56" s="677"/>
      <c r="AY56" s="678"/>
      <c r="AZ56" s="1436">
        <v>1</v>
      </c>
      <c r="BA56" s="1488">
        <v>5000000</v>
      </c>
      <c r="BB56" s="1489">
        <v>5000000</v>
      </c>
      <c r="BC56" s="1437">
        <f>+X56/W56</f>
        <v>1</v>
      </c>
      <c r="BD56" s="2489">
        <v>20</v>
      </c>
      <c r="BE56" s="1391" t="s">
        <v>1115</v>
      </c>
      <c r="BF56" s="2510">
        <v>41192</v>
      </c>
      <c r="BG56" s="1361">
        <v>41192</v>
      </c>
      <c r="BH56" s="1361">
        <v>42724</v>
      </c>
      <c r="BI56" s="1392">
        <v>42724</v>
      </c>
      <c r="BJ56" s="2389" t="s">
        <v>1071</v>
      </c>
    </row>
    <row r="57" spans="1:62" s="4" customFormat="1" ht="34.5" customHeight="1" thickBot="1" x14ac:dyDescent="0.25">
      <c r="A57" s="3886" t="s">
        <v>119</v>
      </c>
      <c r="B57" s="3887"/>
      <c r="C57" s="3887"/>
      <c r="D57" s="3887"/>
      <c r="E57" s="3887"/>
      <c r="F57" s="3887"/>
      <c r="G57" s="3887"/>
      <c r="H57" s="3887"/>
      <c r="I57" s="3887"/>
      <c r="J57" s="3887"/>
      <c r="K57" s="3887"/>
      <c r="L57" s="3887"/>
      <c r="M57" s="3887"/>
      <c r="N57" s="3887"/>
      <c r="O57" s="3887"/>
      <c r="P57" s="3887"/>
      <c r="Q57" s="3887"/>
      <c r="R57" s="3888"/>
      <c r="S57" s="1473">
        <f>SUM(S14:S56)</f>
        <v>1929366350</v>
      </c>
      <c r="T57" s="1438"/>
      <c r="U57" s="1439"/>
      <c r="V57" s="1440"/>
      <c r="W57" s="1441">
        <f>SUM(W14:W56)</f>
        <v>1929366350</v>
      </c>
      <c r="X57" s="1442">
        <f>SUM(X14:X56)</f>
        <v>1384903722</v>
      </c>
      <c r="Y57" s="1442">
        <f>SUM(Y14:Y56)</f>
        <v>1128546066</v>
      </c>
      <c r="Z57" s="1443"/>
      <c r="AA57" s="1444"/>
      <c r="AB57" s="712"/>
      <c r="AC57" s="1445"/>
      <c r="AD57" s="712"/>
      <c r="AE57" s="1445"/>
      <c r="AF57" s="712"/>
      <c r="AG57" s="1445"/>
      <c r="AH57" s="712"/>
      <c r="AI57" s="1445"/>
      <c r="AJ57" s="712"/>
      <c r="AK57" s="1445"/>
      <c r="AL57" s="712"/>
      <c r="AM57" s="1445"/>
      <c r="AN57" s="712"/>
      <c r="AO57" s="1445"/>
      <c r="AP57" s="712"/>
      <c r="AQ57" s="1445"/>
      <c r="AR57" s="712"/>
      <c r="AS57" s="1445"/>
      <c r="AT57" s="712"/>
      <c r="AU57" s="1445"/>
      <c r="AV57" s="712"/>
      <c r="AW57" s="1445"/>
      <c r="AX57" s="712"/>
      <c r="AY57" s="1445"/>
      <c r="AZ57" s="1446"/>
      <c r="BA57" s="1498">
        <f>SUM(BA14:BA56)</f>
        <v>1384903722</v>
      </c>
      <c r="BB57" s="1499">
        <f>SUM(BB14:BB56)</f>
        <v>1128546066</v>
      </c>
      <c r="BC57" s="712"/>
      <c r="BD57" s="712"/>
      <c r="BE57" s="1446"/>
      <c r="BF57" s="1447"/>
      <c r="BG57" s="1448"/>
      <c r="BH57" s="713"/>
      <c r="BI57" s="719"/>
      <c r="BJ57" s="724"/>
    </row>
    <row r="58" spans="1:62" ht="81.75" customHeight="1" x14ac:dyDescent="0.25">
      <c r="S58" s="1452"/>
      <c r="W58" s="1449"/>
      <c r="X58" s="1450"/>
      <c r="Y58" s="1450"/>
      <c r="BA58" s="1500"/>
      <c r="BB58" s="1501"/>
      <c r="BD58" s="2197"/>
      <c r="BE58" s="397"/>
      <c r="BJ58" s="2417"/>
    </row>
    <row r="59" spans="1:62" ht="21.75" customHeight="1" x14ac:dyDescent="0.2">
      <c r="F59" s="3884" t="s">
        <v>1180</v>
      </c>
      <c r="G59" s="3884"/>
      <c r="H59" s="3884"/>
      <c r="I59" s="3884"/>
      <c r="J59" s="3884"/>
      <c r="K59" s="3884"/>
      <c r="L59" s="3884"/>
      <c r="S59" s="682"/>
      <c r="BD59" s="2197"/>
      <c r="BE59" s="397"/>
      <c r="BJ59" s="2417"/>
    </row>
    <row r="60" spans="1:62" ht="20.25" customHeight="1" x14ac:dyDescent="0.2">
      <c r="F60" s="3885" t="s">
        <v>1181</v>
      </c>
      <c r="G60" s="3885"/>
      <c r="H60" s="3885"/>
      <c r="I60" s="3885"/>
      <c r="J60" s="3885"/>
      <c r="K60" s="3885"/>
      <c r="L60" s="3885"/>
      <c r="S60" s="1451"/>
      <c r="BJ60" s="2417"/>
    </row>
    <row r="61" spans="1:62" ht="34.9" customHeight="1" x14ac:dyDescent="0.2">
      <c r="BJ61" s="2417"/>
    </row>
  </sheetData>
  <sheetProtection algorithmName="SHA-512" hashValue="vyaDho8b5qF9tBL12Ub+FpMXuhR32jJP6wmY/cBl+vYx9bfipShqLcBo3kTPzYGbFu56byM+D7hiQ8JHkIxfPw==" saltValue="/3jpe59cNVENB9msi4vgSg==" spinCount="100000" sheet="1" objects="1" scenarios="1"/>
  <mergeCells count="403">
    <mergeCell ref="A1:BF4"/>
    <mergeCell ref="A5:M6"/>
    <mergeCell ref="Q5:BJ5"/>
    <mergeCell ref="Q6:AA6"/>
    <mergeCell ref="AB6:AY6"/>
    <mergeCell ref="BF6:BJ6"/>
    <mergeCell ref="J7:J9"/>
    <mergeCell ref="K7:K9"/>
    <mergeCell ref="L7:L9"/>
    <mergeCell ref="M7:N8"/>
    <mergeCell ref="O7:O9"/>
    <mergeCell ref="P7:P10"/>
    <mergeCell ref="M9:M10"/>
    <mergeCell ref="N9:N10"/>
    <mergeCell ref="A7:A9"/>
    <mergeCell ref="B7:C9"/>
    <mergeCell ref="D7:D9"/>
    <mergeCell ref="E7:F9"/>
    <mergeCell ref="G7:G9"/>
    <mergeCell ref="H7:I9"/>
    <mergeCell ref="BC8:BC9"/>
    <mergeCell ref="BD8:BD9"/>
    <mergeCell ref="BE8:BE9"/>
    <mergeCell ref="BF7:BG8"/>
    <mergeCell ref="BH7:BI8"/>
    <mergeCell ref="AB8:AC8"/>
    <mergeCell ref="AD8:AE8"/>
    <mergeCell ref="AF8:AG8"/>
    <mergeCell ref="AH8:AI8"/>
    <mergeCell ref="AJ8:AK8"/>
    <mergeCell ref="AL8:AM8"/>
    <mergeCell ref="AN8:AO8"/>
    <mergeCell ref="AP8:AQ8"/>
    <mergeCell ref="AB7:AM7"/>
    <mergeCell ref="AN7:AY7"/>
    <mergeCell ref="AZ7:BE7"/>
    <mergeCell ref="AR8:AS8"/>
    <mergeCell ref="AT8:AU8"/>
    <mergeCell ref="AV8:AW8"/>
    <mergeCell ref="AX8:AY8"/>
    <mergeCell ref="O14:O17"/>
    <mergeCell ref="P14:P17"/>
    <mergeCell ref="Q14:Q17"/>
    <mergeCell ref="S14:S17"/>
    <mergeCell ref="T14:T17"/>
    <mergeCell ref="AB14:AB17"/>
    <mergeCell ref="AZ8:AZ9"/>
    <mergeCell ref="BA8:BA9"/>
    <mergeCell ref="BB8:BB9"/>
    <mergeCell ref="W7:Y8"/>
    <mergeCell ref="Z7:Z9"/>
    <mergeCell ref="AA7:AA9"/>
    <mergeCell ref="Q7:Q9"/>
    <mergeCell ref="R7:R9"/>
    <mergeCell ref="S7:S9"/>
    <mergeCell ref="T7:T9"/>
    <mergeCell ref="U7:U9"/>
    <mergeCell ref="V7:V9"/>
    <mergeCell ref="AI14:AI17"/>
    <mergeCell ref="AJ14:AJ17"/>
    <mergeCell ref="AL14:AL17"/>
    <mergeCell ref="AM14:AM17"/>
    <mergeCell ref="AN14:AN17"/>
    <mergeCell ref="AO14:AO17"/>
    <mergeCell ref="AC14:AC17"/>
    <mergeCell ref="AD14:AD17"/>
    <mergeCell ref="AE14:AE17"/>
    <mergeCell ref="AF14:AF17"/>
    <mergeCell ref="AG14:AG17"/>
    <mergeCell ref="AH14:AH17"/>
    <mergeCell ref="AX14:AX17"/>
    <mergeCell ref="AY14:AY17"/>
    <mergeCell ref="AZ14:AZ17"/>
    <mergeCell ref="BA14:BA17"/>
    <mergeCell ref="AP14:AP17"/>
    <mergeCell ref="AQ14:AQ17"/>
    <mergeCell ref="AR14:AR17"/>
    <mergeCell ref="AS14:AS17"/>
    <mergeCell ref="AT14:AT17"/>
    <mergeCell ref="AU14:AU17"/>
    <mergeCell ref="AF21:AF22"/>
    <mergeCell ref="AG21:AG22"/>
    <mergeCell ref="AH21:AH22"/>
    <mergeCell ref="AI21:AI22"/>
    <mergeCell ref="AJ21:AJ22"/>
    <mergeCell ref="AK21:AK22"/>
    <mergeCell ref="AW21:AW22"/>
    <mergeCell ref="AL21:AL22"/>
    <mergeCell ref="AM21:AM22"/>
    <mergeCell ref="AN21:AN22"/>
    <mergeCell ref="AO21:AO22"/>
    <mergeCell ref="AP21:AP22"/>
    <mergeCell ref="AQ21:AQ22"/>
    <mergeCell ref="BI14:BI17"/>
    <mergeCell ref="BJ14:BJ17"/>
    <mergeCell ref="O21:O22"/>
    <mergeCell ref="P21:P22"/>
    <mergeCell ref="Q21:Q22"/>
    <mergeCell ref="T21:T22"/>
    <mergeCell ref="AB21:AB22"/>
    <mergeCell ref="AC21:AC22"/>
    <mergeCell ref="AD21:AD22"/>
    <mergeCell ref="AE21:AE22"/>
    <mergeCell ref="BB14:BB17"/>
    <mergeCell ref="BC14:BC17"/>
    <mergeCell ref="BD14:BD17"/>
    <mergeCell ref="BF14:BF17"/>
    <mergeCell ref="BG14:BG17"/>
    <mergeCell ref="BH14:BH17"/>
    <mergeCell ref="AV14:AV17"/>
    <mergeCell ref="AW14:AW17"/>
    <mergeCell ref="BC21:BC22"/>
    <mergeCell ref="AR21:AR22"/>
    <mergeCell ref="AS21:AS22"/>
    <mergeCell ref="AT21:AT22"/>
    <mergeCell ref="AU21:AU22"/>
    <mergeCell ref="AV21:AV22"/>
    <mergeCell ref="T24:T28"/>
    <mergeCell ref="U24:U28"/>
    <mergeCell ref="X24:X25"/>
    <mergeCell ref="Y24:Y25"/>
    <mergeCell ref="BJ21:BJ22"/>
    <mergeCell ref="J24:J28"/>
    <mergeCell ref="K24:K28"/>
    <mergeCell ref="L24:L28"/>
    <mergeCell ref="M24:M28"/>
    <mergeCell ref="N24:N28"/>
    <mergeCell ref="O24:O28"/>
    <mergeCell ref="P24:P28"/>
    <mergeCell ref="Q24:Q28"/>
    <mergeCell ref="BD21:BD22"/>
    <mergeCell ref="BE21:BE22"/>
    <mergeCell ref="BF21:BF22"/>
    <mergeCell ref="BG21:BG22"/>
    <mergeCell ref="BH21:BH22"/>
    <mergeCell ref="BI21:BI22"/>
    <mergeCell ref="AX21:AX22"/>
    <mergeCell ref="AY21:AY22"/>
    <mergeCell ref="AZ21:AZ22"/>
    <mergeCell ref="BA21:BA22"/>
    <mergeCell ref="BB21:BB22"/>
    <mergeCell ref="BI24:BI28"/>
    <mergeCell ref="BJ24:BJ28"/>
    <mergeCell ref="J29:J31"/>
    <mergeCell ref="K29:K31"/>
    <mergeCell ref="L29:L31"/>
    <mergeCell ref="M29:M31"/>
    <mergeCell ref="N29:N31"/>
    <mergeCell ref="AZ24:AZ28"/>
    <mergeCell ref="BA24:BA28"/>
    <mergeCell ref="BB24:BB28"/>
    <mergeCell ref="BC24:BC28"/>
    <mergeCell ref="BD24:BD28"/>
    <mergeCell ref="BE24:BE28"/>
    <mergeCell ref="AT24:AT28"/>
    <mergeCell ref="AU24:AU28"/>
    <mergeCell ref="AV24:AV28"/>
    <mergeCell ref="AW24:AW28"/>
    <mergeCell ref="AX24:AX28"/>
    <mergeCell ref="AY24:AY28"/>
    <mergeCell ref="AN24:AN28"/>
    <mergeCell ref="AO24:AO28"/>
    <mergeCell ref="AP24:AP28"/>
    <mergeCell ref="AQ24:AQ28"/>
    <mergeCell ref="AR24:AR28"/>
    <mergeCell ref="O29:O33"/>
    <mergeCell ref="P29:P33"/>
    <mergeCell ref="Q29:Q33"/>
    <mergeCell ref="R29:R31"/>
    <mergeCell ref="S29:S33"/>
    <mergeCell ref="T29:T33"/>
    <mergeCell ref="BF24:BF28"/>
    <mergeCell ref="BG24:BG28"/>
    <mergeCell ref="BH24:BH28"/>
    <mergeCell ref="AS24:AS28"/>
    <mergeCell ref="AH24:AH28"/>
    <mergeCell ref="AI24:AI28"/>
    <mergeCell ref="AJ24:AJ28"/>
    <mergeCell ref="AK24:AK28"/>
    <mergeCell ref="AL24:AL28"/>
    <mergeCell ref="AM24:AM28"/>
    <mergeCell ref="AB24:AB28"/>
    <mergeCell ref="AC24:AC28"/>
    <mergeCell ref="AD24:AD28"/>
    <mergeCell ref="AE24:AE28"/>
    <mergeCell ref="AF24:AF28"/>
    <mergeCell ref="AG24:AG28"/>
    <mergeCell ref="R24:R28"/>
    <mergeCell ref="S24:S28"/>
    <mergeCell ref="AJ29:AJ33"/>
    <mergeCell ref="AK29:AK33"/>
    <mergeCell ref="AL29:AL33"/>
    <mergeCell ref="U29:U31"/>
    <mergeCell ref="AB29:AB33"/>
    <mergeCell ref="AC29:AC33"/>
    <mergeCell ref="AD29:AD33"/>
    <mergeCell ref="AE29:AE33"/>
    <mergeCell ref="AF29:AF33"/>
    <mergeCell ref="BH29:BH33"/>
    <mergeCell ref="BI29:BI33"/>
    <mergeCell ref="BJ29:BJ33"/>
    <mergeCell ref="AY29:AY33"/>
    <mergeCell ref="AZ29:AZ33"/>
    <mergeCell ref="BA29:BA33"/>
    <mergeCell ref="BB29:BB33"/>
    <mergeCell ref="BC29:BC33"/>
    <mergeCell ref="BD29:BD33"/>
    <mergeCell ref="J37:J38"/>
    <mergeCell ref="K37:K38"/>
    <mergeCell ref="L37:L38"/>
    <mergeCell ref="M37:M38"/>
    <mergeCell ref="N37:N38"/>
    <mergeCell ref="O37:O38"/>
    <mergeCell ref="BE29:BE33"/>
    <mergeCell ref="BF29:BF33"/>
    <mergeCell ref="BG29:BG33"/>
    <mergeCell ref="AS29:AS33"/>
    <mergeCell ref="AT29:AT33"/>
    <mergeCell ref="AU29:AU33"/>
    <mergeCell ref="AV29:AV33"/>
    <mergeCell ref="AW29:AW33"/>
    <mergeCell ref="AX29:AX33"/>
    <mergeCell ref="AM29:AM33"/>
    <mergeCell ref="AN29:AN33"/>
    <mergeCell ref="AO29:AO33"/>
    <mergeCell ref="AP29:AP33"/>
    <mergeCell ref="AQ29:AQ33"/>
    <mergeCell ref="AR29:AR33"/>
    <mergeCell ref="AG29:AG33"/>
    <mergeCell ref="AH29:AH33"/>
    <mergeCell ref="AI29:AI33"/>
    <mergeCell ref="AD37:AD38"/>
    <mergeCell ref="AE37:AE38"/>
    <mergeCell ref="AF37:AF38"/>
    <mergeCell ref="AG37:AG38"/>
    <mergeCell ref="AH37:AH38"/>
    <mergeCell ref="AI37:AI38"/>
    <mergeCell ref="P37:P38"/>
    <mergeCell ref="Q37:Q38"/>
    <mergeCell ref="S37:S38"/>
    <mergeCell ref="T37:T38"/>
    <mergeCell ref="AB37:AB38"/>
    <mergeCell ref="AC37:AC38"/>
    <mergeCell ref="AR37:AR38"/>
    <mergeCell ref="AS37:AS38"/>
    <mergeCell ref="AT37:AT38"/>
    <mergeCell ref="AU37:AU38"/>
    <mergeCell ref="AJ37:AJ38"/>
    <mergeCell ref="AK37:AK38"/>
    <mergeCell ref="AL37:AL38"/>
    <mergeCell ref="AM37:AM38"/>
    <mergeCell ref="AN37:AN38"/>
    <mergeCell ref="AO37:AO38"/>
    <mergeCell ref="BH37:BH38"/>
    <mergeCell ref="BI37:BI38"/>
    <mergeCell ref="BJ37:BJ38"/>
    <mergeCell ref="O41:O44"/>
    <mergeCell ref="P41:P44"/>
    <mergeCell ref="Q41:Q44"/>
    <mergeCell ref="S41:S44"/>
    <mergeCell ref="T41:T44"/>
    <mergeCell ref="AB41:AB44"/>
    <mergeCell ref="AC41:AC44"/>
    <mergeCell ref="BB37:BB38"/>
    <mergeCell ref="BC37:BC38"/>
    <mergeCell ref="BD37:BD38"/>
    <mergeCell ref="BE37:BE38"/>
    <mergeCell ref="BF37:BF38"/>
    <mergeCell ref="BG37:BG38"/>
    <mergeCell ref="AV37:AV38"/>
    <mergeCell ref="AW37:AW38"/>
    <mergeCell ref="AX37:AX38"/>
    <mergeCell ref="AY37:AY38"/>
    <mergeCell ref="AZ37:AZ38"/>
    <mergeCell ref="BA37:BA38"/>
    <mergeCell ref="AP37:AP38"/>
    <mergeCell ref="AQ37:AQ38"/>
    <mergeCell ref="U42:U43"/>
    <mergeCell ref="O47:O48"/>
    <mergeCell ref="P47:P48"/>
    <mergeCell ref="Q47:Q48"/>
    <mergeCell ref="S47:S48"/>
    <mergeCell ref="T47:T48"/>
    <mergeCell ref="BB41:BB44"/>
    <mergeCell ref="BC41:BC44"/>
    <mergeCell ref="BD41:BD44"/>
    <mergeCell ref="AV41:AV44"/>
    <mergeCell ref="AW41:AW44"/>
    <mergeCell ref="AX41:AX44"/>
    <mergeCell ref="AY41:AY44"/>
    <mergeCell ref="AZ41:AZ44"/>
    <mergeCell ref="BA41:BA44"/>
    <mergeCell ref="AP41:AP44"/>
    <mergeCell ref="AQ41:AQ44"/>
    <mergeCell ref="AR41:AR44"/>
    <mergeCell ref="AS41:AS44"/>
    <mergeCell ref="AT41:AT44"/>
    <mergeCell ref="AU41:AU44"/>
    <mergeCell ref="AJ41:AJ44"/>
    <mergeCell ref="AK41:AK44"/>
    <mergeCell ref="AL41:AL44"/>
    <mergeCell ref="AD41:AD44"/>
    <mergeCell ref="AE41:AE44"/>
    <mergeCell ref="AF41:AF44"/>
    <mergeCell ref="AG41:AG44"/>
    <mergeCell ref="AH41:AH44"/>
    <mergeCell ref="AI41:AI44"/>
    <mergeCell ref="AV47:AV48"/>
    <mergeCell ref="AK47:AK48"/>
    <mergeCell ref="AL47:AL48"/>
    <mergeCell ref="AM47:AM48"/>
    <mergeCell ref="AN47:AN48"/>
    <mergeCell ref="BH41:BH44"/>
    <mergeCell ref="BI41:BI44"/>
    <mergeCell ref="BJ41:BJ44"/>
    <mergeCell ref="BE41:BE44"/>
    <mergeCell ref="BF41:BF44"/>
    <mergeCell ref="BG41:BG44"/>
    <mergeCell ref="AM41:AM44"/>
    <mergeCell ref="AN41:AN44"/>
    <mergeCell ref="AO41:AO44"/>
    <mergeCell ref="J52:J54"/>
    <mergeCell ref="K52:K54"/>
    <mergeCell ref="L52:L55"/>
    <mergeCell ref="M52:M54"/>
    <mergeCell ref="N52:N54"/>
    <mergeCell ref="BC47:BC48"/>
    <mergeCell ref="BD47:BD48"/>
    <mergeCell ref="BE47:BE48"/>
    <mergeCell ref="BF47:BF48"/>
    <mergeCell ref="AW47:AW48"/>
    <mergeCell ref="AX47:AX48"/>
    <mergeCell ref="AY47:AY48"/>
    <mergeCell ref="AZ47:AZ48"/>
    <mergeCell ref="BA47:BA48"/>
    <mergeCell ref="BB47:BB48"/>
    <mergeCell ref="AQ47:AQ48"/>
    <mergeCell ref="AR47:AR48"/>
    <mergeCell ref="AS47:AS48"/>
    <mergeCell ref="AT47:AT48"/>
    <mergeCell ref="AU47:AU48"/>
    <mergeCell ref="Y52:Y53"/>
    <mergeCell ref="AO47:AO48"/>
    <mergeCell ref="AP47:AP48"/>
    <mergeCell ref="AE47:AE48"/>
    <mergeCell ref="AE52:AE55"/>
    <mergeCell ref="AF52:AF55"/>
    <mergeCell ref="O52:O55"/>
    <mergeCell ref="P52:P55"/>
    <mergeCell ref="Q52:Q55"/>
    <mergeCell ref="S52:S55"/>
    <mergeCell ref="T52:T55"/>
    <mergeCell ref="X52:X53"/>
    <mergeCell ref="BJ47:BJ48"/>
    <mergeCell ref="BG47:BG48"/>
    <mergeCell ref="BH47:BH48"/>
    <mergeCell ref="AF47:AF48"/>
    <mergeCell ref="AG47:AG48"/>
    <mergeCell ref="AH47:AH48"/>
    <mergeCell ref="AI47:AI48"/>
    <mergeCell ref="AJ47:AJ48"/>
    <mergeCell ref="BI47:BI48"/>
    <mergeCell ref="Z47:Z48"/>
    <mergeCell ref="AB47:AB48"/>
    <mergeCell ref="AC47:AC48"/>
    <mergeCell ref="AD47:AD48"/>
    <mergeCell ref="BJ52:BJ55"/>
    <mergeCell ref="AY52:AY55"/>
    <mergeCell ref="AZ52:AZ55"/>
    <mergeCell ref="BA52:BA55"/>
    <mergeCell ref="BB52:BB55"/>
    <mergeCell ref="BC52:BC55"/>
    <mergeCell ref="BD52:BD55"/>
    <mergeCell ref="AS52:AS55"/>
    <mergeCell ref="AT52:AT55"/>
    <mergeCell ref="AU52:AU55"/>
    <mergeCell ref="AV52:AV55"/>
    <mergeCell ref="AW52:AW55"/>
    <mergeCell ref="AX52:AX55"/>
    <mergeCell ref="F59:L59"/>
    <mergeCell ref="F60:L60"/>
    <mergeCell ref="A57:R57"/>
    <mergeCell ref="R37:R38"/>
    <mergeCell ref="BE52:BE55"/>
    <mergeCell ref="BF52:BF55"/>
    <mergeCell ref="BG52:BG55"/>
    <mergeCell ref="BH52:BH55"/>
    <mergeCell ref="BI52:BI55"/>
    <mergeCell ref="AM52:AM55"/>
    <mergeCell ref="AN52:AN55"/>
    <mergeCell ref="AO52:AO55"/>
    <mergeCell ref="AP52:AP55"/>
    <mergeCell ref="AQ52:AQ55"/>
    <mergeCell ref="AR52:AR55"/>
    <mergeCell ref="AG52:AG55"/>
    <mergeCell ref="AH52:AH55"/>
    <mergeCell ref="AI52:AI55"/>
    <mergeCell ref="AJ52:AJ55"/>
    <mergeCell ref="AK52:AK55"/>
    <mergeCell ref="AL52:AL55"/>
    <mergeCell ref="AB52:AB55"/>
    <mergeCell ref="AC52:AC55"/>
    <mergeCell ref="AD52:AD5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L30"/>
  <sheetViews>
    <sheetView topLeftCell="B1" zoomScale="55" zoomScaleNormal="55" workbookViewId="0">
      <selection activeCell="Q18" sqref="Q18:Q21"/>
    </sheetView>
  </sheetViews>
  <sheetFormatPr baseColWidth="10" defaultColWidth="11.42578125" defaultRowHeight="14.25" x14ac:dyDescent="0.2"/>
  <cols>
    <col min="1" max="1" width="12.28515625" style="27" customWidth="1"/>
    <col min="2" max="2" width="4" style="27" customWidth="1"/>
    <col min="3" max="3" width="14.5703125" style="27" customWidth="1"/>
    <col min="4" max="4" width="12" style="27" customWidth="1"/>
    <col min="5" max="5" width="7.42578125" style="27" customWidth="1"/>
    <col min="6" max="6" width="14.42578125" style="27" customWidth="1"/>
    <col min="7" max="7" width="14.28515625" style="27" customWidth="1"/>
    <col min="8" max="8" width="11.7109375" style="27" customWidth="1"/>
    <col min="9" max="9" width="13.28515625" style="27" customWidth="1"/>
    <col min="10" max="10" width="15.140625" style="27" customWidth="1"/>
    <col min="11" max="11" width="32.140625" style="27" customWidth="1"/>
    <col min="12" max="12" width="19" style="27" customWidth="1"/>
    <col min="13" max="13" width="12.7109375" style="27" customWidth="1"/>
    <col min="14" max="14" width="12.7109375" style="170" customWidth="1"/>
    <col min="15" max="15" width="28.140625" style="27" customWidth="1"/>
    <col min="16" max="16" width="13" style="32" customWidth="1"/>
    <col min="17" max="17" width="27.7109375" style="28" customWidth="1"/>
    <col min="18" max="18" width="16" style="29" customWidth="1"/>
    <col min="19" max="19" width="20.85546875" style="27" customWidth="1"/>
    <col min="20" max="20" width="33.140625" style="27" customWidth="1"/>
    <col min="21" max="21" width="33.5703125" style="27" customWidth="1"/>
    <col min="22" max="22" width="31.85546875" style="30" customWidth="1"/>
    <col min="23" max="23" width="32" style="30" customWidth="1"/>
    <col min="24" max="24" width="33.140625" style="176" customWidth="1"/>
    <col min="25" max="25" width="32.5703125" style="176" customWidth="1"/>
    <col min="26" max="26" width="14.42578125" style="30" customWidth="1"/>
    <col min="27" max="27" width="20.5703125" style="30" customWidth="1"/>
    <col min="28" max="28" width="7.28515625" style="27" customWidth="1"/>
    <col min="29" max="29" width="7.28515625" style="170" customWidth="1"/>
    <col min="30" max="30" width="7.28515625" style="27" customWidth="1"/>
    <col min="31" max="31" width="7.28515625" style="170" customWidth="1"/>
    <col min="32" max="32" width="7.28515625" style="27" customWidth="1"/>
    <col min="33" max="33" width="7.28515625" style="170" customWidth="1"/>
    <col min="34" max="34" width="7.28515625" style="27" customWidth="1"/>
    <col min="35" max="35" width="7.28515625" style="170" customWidth="1"/>
    <col min="36" max="36" width="7.28515625" style="27" customWidth="1"/>
    <col min="37" max="37" width="7.28515625" style="170" customWidth="1"/>
    <col min="38" max="38" width="7.28515625" style="27" customWidth="1"/>
    <col min="39" max="39" width="7.28515625" style="170" customWidth="1"/>
    <col min="40" max="40" width="11.28515625" style="27" customWidth="1"/>
    <col min="41" max="41" width="11.28515625" style="170" customWidth="1"/>
    <col min="42" max="42" width="11.140625" style="27" customWidth="1"/>
    <col min="43" max="43" width="11.140625" style="170" customWidth="1"/>
    <col min="44" max="44" width="10.85546875" style="27" customWidth="1"/>
    <col min="45" max="45" width="10.85546875" style="170" customWidth="1"/>
    <col min="46" max="46" width="7.28515625" style="27" customWidth="1"/>
    <col min="47" max="47" width="7.28515625" style="170" customWidth="1"/>
    <col min="48" max="48" width="7.28515625" style="27" customWidth="1"/>
    <col min="49" max="49" width="7.28515625" style="170" customWidth="1"/>
    <col min="50" max="50" width="7.28515625" style="27" customWidth="1"/>
    <col min="51" max="51" width="7.28515625" style="170" customWidth="1"/>
    <col min="52" max="57" width="20.140625" style="28" customWidth="1"/>
    <col min="58" max="58" width="22.7109375" style="1508" customWidth="1"/>
    <col min="59" max="59" width="22.7109375" style="1509" customWidth="1"/>
    <col min="60" max="60" width="22.7109375" style="1510" customWidth="1"/>
    <col min="61" max="61" width="22.7109375" style="1511" customWidth="1"/>
    <col min="62" max="62" width="28.7109375" style="1512" customWidth="1"/>
    <col min="63" max="63" width="21.42578125" style="27" customWidth="1"/>
    <col min="64" max="64" width="15.7109375" style="27" bestFit="1" customWidth="1"/>
    <col min="65" max="16384" width="11.42578125" style="27"/>
  </cols>
  <sheetData>
    <row r="1" spans="1:64" s="26" customFormat="1" ht="21" customHeight="1" x14ac:dyDescent="0.25">
      <c r="A1" s="4142" t="s">
        <v>0</v>
      </c>
      <c r="B1" s="4142"/>
      <c r="C1" s="4142"/>
      <c r="D1" s="4142"/>
      <c r="E1" s="4142"/>
      <c r="F1" s="4142"/>
      <c r="G1" s="4142"/>
      <c r="H1" s="4142"/>
      <c r="I1" s="4142"/>
      <c r="J1" s="4142"/>
      <c r="K1" s="4142"/>
      <c r="L1" s="4142"/>
      <c r="M1" s="4142"/>
      <c r="N1" s="4142"/>
      <c r="O1" s="4142"/>
      <c r="P1" s="4142"/>
      <c r="Q1" s="4142"/>
      <c r="R1" s="4142"/>
      <c r="S1" s="4142"/>
      <c r="T1" s="4142"/>
      <c r="U1" s="4142"/>
      <c r="V1" s="4142"/>
      <c r="W1" s="4142"/>
      <c r="X1" s="4142"/>
      <c r="Y1" s="4142"/>
      <c r="Z1" s="4142"/>
      <c r="AA1" s="4142"/>
      <c r="AB1" s="4142"/>
      <c r="AC1" s="4142"/>
      <c r="AD1" s="4142"/>
      <c r="AE1" s="4142"/>
      <c r="AF1" s="4142"/>
      <c r="AG1" s="4142"/>
      <c r="AH1" s="4142"/>
      <c r="AI1" s="4142"/>
      <c r="AJ1" s="4142"/>
      <c r="AK1" s="4142"/>
      <c r="AL1" s="4142"/>
      <c r="AM1" s="4142"/>
      <c r="AN1" s="4142"/>
      <c r="AO1" s="4142"/>
      <c r="AP1" s="4142"/>
      <c r="AQ1" s="4142"/>
      <c r="AR1" s="4142"/>
      <c r="AS1" s="4142"/>
      <c r="AT1" s="4142"/>
      <c r="AU1" s="4142"/>
      <c r="AV1" s="4142"/>
      <c r="AW1" s="4142"/>
      <c r="AX1" s="4142"/>
      <c r="AY1" s="4142"/>
      <c r="AZ1" s="4142"/>
      <c r="BA1" s="4142"/>
      <c r="BB1" s="4142"/>
      <c r="BC1" s="4142"/>
      <c r="BD1" s="4142"/>
      <c r="BE1" s="4142"/>
      <c r="BF1" s="4142"/>
      <c r="BG1" s="182"/>
      <c r="BI1" s="1895" t="s">
        <v>1</v>
      </c>
      <c r="BJ1" s="1895" t="s">
        <v>2</v>
      </c>
      <c r="BK1" s="25"/>
      <c r="BL1" s="25"/>
    </row>
    <row r="2" spans="1:64" s="26" customFormat="1" ht="21" customHeight="1" x14ac:dyDescent="0.25">
      <c r="A2" s="4142"/>
      <c r="B2" s="4142"/>
      <c r="C2" s="4142"/>
      <c r="D2" s="4142"/>
      <c r="E2" s="4142"/>
      <c r="F2" s="4142"/>
      <c r="G2" s="4142"/>
      <c r="H2" s="4142"/>
      <c r="I2" s="4142"/>
      <c r="J2" s="4142"/>
      <c r="K2" s="4142"/>
      <c r="L2" s="4142"/>
      <c r="M2" s="4142"/>
      <c r="N2" s="4142"/>
      <c r="O2" s="4142"/>
      <c r="P2" s="4142"/>
      <c r="Q2" s="4142"/>
      <c r="R2" s="4142"/>
      <c r="S2" s="4142"/>
      <c r="T2" s="4142"/>
      <c r="U2" s="4142"/>
      <c r="V2" s="4142"/>
      <c r="W2" s="4142"/>
      <c r="X2" s="4142"/>
      <c r="Y2" s="4142"/>
      <c r="Z2" s="4142"/>
      <c r="AA2" s="4142"/>
      <c r="AB2" s="4142"/>
      <c r="AC2" s="4142"/>
      <c r="AD2" s="4142"/>
      <c r="AE2" s="4142"/>
      <c r="AF2" s="4142"/>
      <c r="AG2" s="4142"/>
      <c r="AH2" s="4142"/>
      <c r="AI2" s="4142"/>
      <c r="AJ2" s="4142"/>
      <c r="AK2" s="4142"/>
      <c r="AL2" s="4142"/>
      <c r="AM2" s="4142"/>
      <c r="AN2" s="4142"/>
      <c r="AO2" s="4142"/>
      <c r="AP2" s="4142"/>
      <c r="AQ2" s="4142"/>
      <c r="AR2" s="4142"/>
      <c r="AS2" s="4142"/>
      <c r="AT2" s="4142"/>
      <c r="AU2" s="4142"/>
      <c r="AV2" s="4142"/>
      <c r="AW2" s="4142"/>
      <c r="AX2" s="4142"/>
      <c r="AY2" s="4142"/>
      <c r="AZ2" s="4142"/>
      <c r="BA2" s="4142"/>
      <c r="BB2" s="4142"/>
      <c r="BC2" s="4142"/>
      <c r="BD2" s="4142"/>
      <c r="BE2" s="4142"/>
      <c r="BF2" s="4142"/>
      <c r="BG2" s="182"/>
      <c r="BI2" s="1896" t="s">
        <v>3</v>
      </c>
      <c r="BJ2" s="1897">
        <v>5</v>
      </c>
      <c r="BK2" s="25"/>
      <c r="BL2" s="25"/>
    </row>
    <row r="3" spans="1:64" s="26" customFormat="1" ht="21" customHeight="1" x14ac:dyDescent="0.25">
      <c r="A3" s="4142"/>
      <c r="B3" s="4142"/>
      <c r="C3" s="4142"/>
      <c r="D3" s="4142"/>
      <c r="E3" s="4142"/>
      <c r="F3" s="4142"/>
      <c r="G3" s="4142"/>
      <c r="H3" s="4142"/>
      <c r="I3" s="4142"/>
      <c r="J3" s="4142"/>
      <c r="K3" s="4142"/>
      <c r="L3" s="4142"/>
      <c r="M3" s="4142"/>
      <c r="N3" s="4142"/>
      <c r="O3" s="4142"/>
      <c r="P3" s="4142"/>
      <c r="Q3" s="4142"/>
      <c r="R3" s="4142"/>
      <c r="S3" s="4142"/>
      <c r="T3" s="4142"/>
      <c r="U3" s="4142"/>
      <c r="V3" s="4142"/>
      <c r="W3" s="4142"/>
      <c r="X3" s="4142"/>
      <c r="Y3" s="4142"/>
      <c r="Z3" s="4142"/>
      <c r="AA3" s="4142"/>
      <c r="AB3" s="4142"/>
      <c r="AC3" s="4142"/>
      <c r="AD3" s="4142"/>
      <c r="AE3" s="4142"/>
      <c r="AF3" s="4142"/>
      <c r="AG3" s="4142"/>
      <c r="AH3" s="4142"/>
      <c r="AI3" s="4142"/>
      <c r="AJ3" s="4142"/>
      <c r="AK3" s="4142"/>
      <c r="AL3" s="4142"/>
      <c r="AM3" s="4142"/>
      <c r="AN3" s="4142"/>
      <c r="AO3" s="4142"/>
      <c r="AP3" s="4142"/>
      <c r="AQ3" s="4142"/>
      <c r="AR3" s="4142"/>
      <c r="AS3" s="4142"/>
      <c r="AT3" s="4142"/>
      <c r="AU3" s="4142"/>
      <c r="AV3" s="4142"/>
      <c r="AW3" s="4142"/>
      <c r="AX3" s="4142"/>
      <c r="AY3" s="4142"/>
      <c r="AZ3" s="4142"/>
      <c r="BA3" s="4142"/>
      <c r="BB3" s="4142"/>
      <c r="BC3" s="4142"/>
      <c r="BD3" s="4142"/>
      <c r="BE3" s="4142"/>
      <c r="BF3" s="4142"/>
      <c r="BG3" s="182"/>
      <c r="BI3" s="1895" t="s">
        <v>4</v>
      </c>
      <c r="BJ3" s="1898" t="s">
        <v>335</v>
      </c>
      <c r="BK3" s="25"/>
      <c r="BL3" s="25"/>
    </row>
    <row r="4" spans="1:64" s="26" customFormat="1" ht="21" customHeight="1" x14ac:dyDescent="0.2">
      <c r="A4" s="4142"/>
      <c r="B4" s="4142"/>
      <c r="C4" s="4142"/>
      <c r="D4" s="4142"/>
      <c r="E4" s="4142"/>
      <c r="F4" s="4142"/>
      <c r="G4" s="4142"/>
      <c r="H4" s="4142"/>
      <c r="I4" s="4142"/>
      <c r="J4" s="4142"/>
      <c r="K4" s="4142"/>
      <c r="L4" s="4142"/>
      <c r="M4" s="4142"/>
      <c r="N4" s="4142"/>
      <c r="O4" s="4142"/>
      <c r="P4" s="4142"/>
      <c r="Q4" s="4142"/>
      <c r="R4" s="4142"/>
      <c r="S4" s="4142"/>
      <c r="T4" s="4142"/>
      <c r="U4" s="4142"/>
      <c r="V4" s="4142"/>
      <c r="W4" s="4142"/>
      <c r="X4" s="4142"/>
      <c r="Y4" s="4142"/>
      <c r="Z4" s="4142"/>
      <c r="AA4" s="4142"/>
      <c r="AB4" s="4142"/>
      <c r="AC4" s="4142"/>
      <c r="AD4" s="4142"/>
      <c r="AE4" s="4142"/>
      <c r="AF4" s="4142"/>
      <c r="AG4" s="4142"/>
      <c r="AH4" s="4142"/>
      <c r="AI4" s="4142"/>
      <c r="AJ4" s="4142"/>
      <c r="AK4" s="4142"/>
      <c r="AL4" s="4142"/>
      <c r="AM4" s="4142"/>
      <c r="AN4" s="4142"/>
      <c r="AO4" s="4142"/>
      <c r="AP4" s="4142"/>
      <c r="AQ4" s="4142"/>
      <c r="AR4" s="4142"/>
      <c r="AS4" s="4142"/>
      <c r="AT4" s="4142"/>
      <c r="AU4" s="4142"/>
      <c r="AV4" s="4142"/>
      <c r="AW4" s="4142"/>
      <c r="AX4" s="4142"/>
      <c r="AY4" s="4142"/>
      <c r="AZ4" s="4142"/>
      <c r="BA4" s="4142"/>
      <c r="BB4" s="4142"/>
      <c r="BC4" s="4142"/>
      <c r="BD4" s="4142"/>
      <c r="BE4" s="4142"/>
      <c r="BF4" s="4142"/>
      <c r="BG4" s="182"/>
      <c r="BI4" s="679" t="s">
        <v>6</v>
      </c>
      <c r="BJ4" s="1899" t="s">
        <v>7</v>
      </c>
      <c r="BK4" s="25"/>
      <c r="BL4" s="25"/>
    </row>
    <row r="5" spans="1:64" s="4" customFormat="1" ht="15" x14ac:dyDescent="0.2">
      <c r="A5" s="2744" t="s">
        <v>8</v>
      </c>
      <c r="B5" s="2744"/>
      <c r="C5" s="2744"/>
      <c r="D5" s="2744"/>
      <c r="E5" s="2744"/>
      <c r="F5" s="2744"/>
      <c r="G5" s="2744"/>
      <c r="H5" s="2744"/>
      <c r="I5" s="2744"/>
      <c r="J5" s="2744"/>
      <c r="K5" s="2744"/>
      <c r="L5" s="2744"/>
      <c r="M5" s="2744"/>
      <c r="N5" s="2085"/>
      <c r="O5" s="2085"/>
      <c r="P5" s="2085"/>
      <c r="Q5" s="2744" t="s">
        <v>9</v>
      </c>
      <c r="R5" s="2744"/>
      <c r="S5" s="2744"/>
      <c r="T5" s="2744"/>
      <c r="U5" s="2744"/>
      <c r="V5" s="2744"/>
      <c r="W5" s="2744"/>
      <c r="X5" s="2744"/>
      <c r="Y5" s="2744"/>
      <c r="Z5" s="2744"/>
      <c r="AA5" s="2744"/>
      <c r="AB5" s="2744"/>
      <c r="AC5" s="2744"/>
      <c r="AD5" s="2744"/>
      <c r="AE5" s="2744"/>
      <c r="AF5" s="2744"/>
      <c r="AG5" s="2744"/>
      <c r="AH5" s="2744"/>
      <c r="AI5" s="2744"/>
      <c r="AJ5" s="2744"/>
      <c r="AK5" s="2744"/>
      <c r="AL5" s="2744"/>
      <c r="AM5" s="2744"/>
      <c r="AN5" s="2744"/>
      <c r="AO5" s="2744"/>
      <c r="AP5" s="2744"/>
      <c r="AQ5" s="2744"/>
      <c r="AR5" s="2744"/>
      <c r="AS5" s="2744"/>
      <c r="AT5" s="2744"/>
      <c r="AU5" s="2744"/>
      <c r="AV5" s="2744"/>
      <c r="AW5" s="2744"/>
      <c r="AX5" s="2744"/>
      <c r="AY5" s="2744"/>
      <c r="AZ5" s="2744"/>
      <c r="BA5" s="2744"/>
      <c r="BB5" s="2744"/>
      <c r="BC5" s="2744"/>
      <c r="BD5" s="2744"/>
      <c r="BE5" s="2744"/>
      <c r="BF5" s="2744"/>
      <c r="BG5" s="2744"/>
      <c r="BH5" s="2744"/>
      <c r="BI5" s="2744"/>
      <c r="BJ5" s="2744"/>
    </row>
    <row r="6" spans="1:64" s="4" customFormat="1" ht="14.45" customHeight="1" thickBot="1" x14ac:dyDescent="0.25">
      <c r="A6" s="2744"/>
      <c r="B6" s="2744"/>
      <c r="C6" s="2744"/>
      <c r="D6" s="2744"/>
      <c r="E6" s="2744"/>
      <c r="F6" s="2744"/>
      <c r="G6" s="2744"/>
      <c r="H6" s="2744"/>
      <c r="I6" s="2744"/>
      <c r="J6" s="2744"/>
      <c r="K6" s="2744"/>
      <c r="L6" s="2744"/>
      <c r="M6" s="2744"/>
      <c r="N6" s="2085"/>
      <c r="O6" s="2085"/>
      <c r="P6" s="2086"/>
      <c r="Q6" s="2745"/>
      <c r="R6" s="2746"/>
      <c r="S6" s="2746"/>
      <c r="T6" s="2746"/>
      <c r="U6" s="2746"/>
      <c r="V6" s="2746"/>
      <c r="W6" s="2746"/>
      <c r="X6" s="2746"/>
      <c r="Y6" s="2746"/>
      <c r="Z6" s="2746"/>
      <c r="AA6" s="2747"/>
      <c r="AB6" s="2745" t="s">
        <v>10</v>
      </c>
      <c r="AC6" s="2746"/>
      <c r="AD6" s="2746"/>
      <c r="AE6" s="2746"/>
      <c r="AF6" s="2746"/>
      <c r="AG6" s="2746"/>
      <c r="AH6" s="2746"/>
      <c r="AI6" s="2746"/>
      <c r="AJ6" s="2746"/>
      <c r="AK6" s="2746"/>
      <c r="AL6" s="2746"/>
      <c r="AM6" s="2746"/>
      <c r="AN6" s="2746"/>
      <c r="AO6" s="2746"/>
      <c r="AP6" s="2746"/>
      <c r="AQ6" s="2746"/>
      <c r="AR6" s="2746"/>
      <c r="AS6" s="2746"/>
      <c r="AT6" s="2746"/>
      <c r="AU6" s="2746"/>
      <c r="AV6" s="2746"/>
      <c r="AW6" s="2746"/>
      <c r="AX6" s="2746"/>
      <c r="AY6" s="2747"/>
      <c r="AZ6" s="2087"/>
      <c r="BA6" s="2087"/>
      <c r="BB6" s="2087"/>
      <c r="BC6" s="2087"/>
      <c r="BD6" s="2087"/>
      <c r="BE6" s="2087"/>
      <c r="BF6" s="2745"/>
      <c r="BG6" s="2746"/>
      <c r="BH6" s="2746"/>
      <c r="BI6" s="2746"/>
      <c r="BJ6" s="2747"/>
    </row>
    <row r="7" spans="1:64" s="26" customFormat="1" ht="24.75" customHeight="1" x14ac:dyDescent="0.2">
      <c r="A7" s="4143" t="s">
        <v>11</v>
      </c>
      <c r="B7" s="4101" t="s">
        <v>12</v>
      </c>
      <c r="C7" s="4103"/>
      <c r="D7" s="4107" t="s">
        <v>11</v>
      </c>
      <c r="E7" s="4101" t="s">
        <v>13</v>
      </c>
      <c r="F7" s="4103"/>
      <c r="G7" s="4101" t="s">
        <v>11</v>
      </c>
      <c r="H7" s="4101" t="s">
        <v>14</v>
      </c>
      <c r="I7" s="4103"/>
      <c r="J7" s="4107" t="s">
        <v>11</v>
      </c>
      <c r="K7" s="4107" t="s">
        <v>15</v>
      </c>
      <c r="L7" s="4107" t="s">
        <v>16</v>
      </c>
      <c r="M7" s="4101" t="s">
        <v>17</v>
      </c>
      <c r="N7" s="4103"/>
      <c r="O7" s="4107" t="s">
        <v>18</v>
      </c>
      <c r="P7" s="4107" t="s">
        <v>19</v>
      </c>
      <c r="Q7" s="4107" t="s">
        <v>9</v>
      </c>
      <c r="R7" s="4107" t="s">
        <v>20</v>
      </c>
      <c r="S7" s="4107" t="s">
        <v>21</v>
      </c>
      <c r="T7" s="4107" t="s">
        <v>22</v>
      </c>
      <c r="U7" s="4107" t="s">
        <v>23</v>
      </c>
      <c r="V7" s="4107" t="s">
        <v>24</v>
      </c>
      <c r="W7" s="4101" t="s">
        <v>21</v>
      </c>
      <c r="X7" s="4102"/>
      <c r="Y7" s="4103"/>
      <c r="Z7" s="4107" t="s">
        <v>11</v>
      </c>
      <c r="AA7" s="4107" t="s">
        <v>25</v>
      </c>
      <c r="AB7" s="4139" t="s">
        <v>26</v>
      </c>
      <c r="AC7" s="4140"/>
      <c r="AD7" s="4140"/>
      <c r="AE7" s="4140"/>
      <c r="AF7" s="4140"/>
      <c r="AG7" s="4140"/>
      <c r="AH7" s="4140"/>
      <c r="AI7" s="4140"/>
      <c r="AJ7" s="4140"/>
      <c r="AK7" s="4140"/>
      <c r="AL7" s="4140"/>
      <c r="AM7" s="4141"/>
      <c r="AN7" s="4139" t="s">
        <v>27</v>
      </c>
      <c r="AO7" s="4140"/>
      <c r="AP7" s="4140"/>
      <c r="AQ7" s="4140"/>
      <c r="AR7" s="4140"/>
      <c r="AS7" s="4140"/>
      <c r="AT7" s="4140"/>
      <c r="AU7" s="4140"/>
      <c r="AV7" s="4140"/>
      <c r="AW7" s="4140"/>
      <c r="AX7" s="4140"/>
      <c r="AY7" s="4141"/>
      <c r="AZ7" s="3009" t="s">
        <v>28</v>
      </c>
      <c r="BA7" s="3010"/>
      <c r="BB7" s="3010"/>
      <c r="BC7" s="3010"/>
      <c r="BD7" s="3010"/>
      <c r="BE7" s="3011"/>
      <c r="BF7" s="4148" t="s">
        <v>29</v>
      </c>
      <c r="BG7" s="4149"/>
      <c r="BH7" s="4148" t="s">
        <v>30</v>
      </c>
      <c r="BI7" s="4149"/>
      <c r="BJ7" s="4152" t="s">
        <v>31</v>
      </c>
      <c r="BK7" s="25"/>
      <c r="BL7" s="25"/>
    </row>
    <row r="8" spans="1:64" s="26" customFormat="1" ht="57" customHeight="1" x14ac:dyDescent="0.2">
      <c r="A8" s="4144"/>
      <c r="B8" s="4146"/>
      <c r="C8" s="4147"/>
      <c r="D8" s="4108"/>
      <c r="E8" s="4146"/>
      <c r="F8" s="4147"/>
      <c r="G8" s="4146"/>
      <c r="H8" s="4146"/>
      <c r="I8" s="4147"/>
      <c r="J8" s="4108"/>
      <c r="K8" s="4108"/>
      <c r="L8" s="4108"/>
      <c r="M8" s="4104"/>
      <c r="N8" s="4106"/>
      <c r="O8" s="4108"/>
      <c r="P8" s="4108"/>
      <c r="Q8" s="4108"/>
      <c r="R8" s="4108"/>
      <c r="S8" s="4108"/>
      <c r="T8" s="4108"/>
      <c r="U8" s="4108"/>
      <c r="V8" s="4108"/>
      <c r="W8" s="4104"/>
      <c r="X8" s="4105"/>
      <c r="Y8" s="4106"/>
      <c r="Z8" s="4108"/>
      <c r="AA8" s="4108"/>
      <c r="AB8" s="4137" t="s">
        <v>32</v>
      </c>
      <c r="AC8" s="4138"/>
      <c r="AD8" s="4154" t="s">
        <v>33</v>
      </c>
      <c r="AE8" s="4155"/>
      <c r="AF8" s="4137" t="s">
        <v>34</v>
      </c>
      <c r="AG8" s="4138"/>
      <c r="AH8" s="4137" t="s">
        <v>35</v>
      </c>
      <c r="AI8" s="4138"/>
      <c r="AJ8" s="4137" t="s">
        <v>36</v>
      </c>
      <c r="AK8" s="4138"/>
      <c r="AL8" s="4137" t="s">
        <v>37</v>
      </c>
      <c r="AM8" s="4138"/>
      <c r="AN8" s="4137" t="s">
        <v>38</v>
      </c>
      <c r="AO8" s="4138"/>
      <c r="AP8" s="4137" t="s">
        <v>39</v>
      </c>
      <c r="AQ8" s="4138"/>
      <c r="AR8" s="4137" t="s">
        <v>40</v>
      </c>
      <c r="AS8" s="4138"/>
      <c r="AT8" s="4137" t="s">
        <v>41</v>
      </c>
      <c r="AU8" s="4138"/>
      <c r="AV8" s="4137" t="s">
        <v>42</v>
      </c>
      <c r="AW8" s="4138"/>
      <c r="AX8" s="4137" t="s">
        <v>43</v>
      </c>
      <c r="AY8" s="4138"/>
      <c r="AZ8" s="2726" t="s">
        <v>44</v>
      </c>
      <c r="BA8" s="2727" t="s">
        <v>45</v>
      </c>
      <c r="BB8" s="2726" t="s">
        <v>46</v>
      </c>
      <c r="BC8" s="2728" t="s">
        <v>47</v>
      </c>
      <c r="BD8" s="2726" t="s">
        <v>48</v>
      </c>
      <c r="BE8" s="2721" t="s">
        <v>49</v>
      </c>
      <c r="BF8" s="4150"/>
      <c r="BG8" s="4151"/>
      <c r="BH8" s="4150"/>
      <c r="BI8" s="4151"/>
      <c r="BJ8" s="4153"/>
      <c r="BK8" s="25"/>
      <c r="BL8" s="25"/>
    </row>
    <row r="9" spans="1:64" s="26" customFormat="1" ht="21.75" customHeight="1" x14ac:dyDescent="0.2">
      <c r="A9" s="4145"/>
      <c r="B9" s="4104"/>
      <c r="C9" s="4106"/>
      <c r="D9" s="4109"/>
      <c r="E9" s="4104"/>
      <c r="F9" s="4106"/>
      <c r="G9" s="4104"/>
      <c r="H9" s="4104"/>
      <c r="I9" s="4106"/>
      <c r="J9" s="4109"/>
      <c r="K9" s="4109"/>
      <c r="L9" s="4109"/>
      <c r="M9" s="126" t="s">
        <v>50</v>
      </c>
      <c r="N9" s="95" t="s">
        <v>51</v>
      </c>
      <c r="O9" s="4109"/>
      <c r="P9" s="4109"/>
      <c r="Q9" s="4109"/>
      <c r="R9" s="4109"/>
      <c r="S9" s="4109"/>
      <c r="T9" s="4109"/>
      <c r="U9" s="4109"/>
      <c r="V9" s="4109"/>
      <c r="W9" s="2081" t="s">
        <v>52</v>
      </c>
      <c r="X9" s="91" t="s">
        <v>53</v>
      </c>
      <c r="Y9" s="91" t="s">
        <v>54</v>
      </c>
      <c r="Z9" s="4109"/>
      <c r="AA9" s="4109"/>
      <c r="AB9" s="126" t="s">
        <v>121</v>
      </c>
      <c r="AC9" s="95" t="s">
        <v>51</v>
      </c>
      <c r="AD9" s="126" t="s">
        <v>121</v>
      </c>
      <c r="AE9" s="95" t="s">
        <v>51</v>
      </c>
      <c r="AF9" s="126" t="s">
        <v>121</v>
      </c>
      <c r="AG9" s="95" t="s">
        <v>51</v>
      </c>
      <c r="AH9" s="126" t="s">
        <v>121</v>
      </c>
      <c r="AI9" s="95" t="s">
        <v>51</v>
      </c>
      <c r="AJ9" s="126" t="s">
        <v>121</v>
      </c>
      <c r="AK9" s="95" t="s">
        <v>51</v>
      </c>
      <c r="AL9" s="126" t="s">
        <v>121</v>
      </c>
      <c r="AM9" s="95" t="s">
        <v>51</v>
      </c>
      <c r="AN9" s="126" t="s">
        <v>121</v>
      </c>
      <c r="AO9" s="95" t="s">
        <v>51</v>
      </c>
      <c r="AP9" s="126" t="s">
        <v>121</v>
      </c>
      <c r="AQ9" s="95" t="s">
        <v>51</v>
      </c>
      <c r="AR9" s="126" t="s">
        <v>121</v>
      </c>
      <c r="AS9" s="95" t="s">
        <v>51</v>
      </c>
      <c r="AT9" s="126" t="s">
        <v>121</v>
      </c>
      <c r="AU9" s="95" t="s">
        <v>51</v>
      </c>
      <c r="AV9" s="126" t="s">
        <v>121</v>
      </c>
      <c r="AW9" s="95" t="s">
        <v>51</v>
      </c>
      <c r="AX9" s="126" t="s">
        <v>121</v>
      </c>
      <c r="AY9" s="95" t="s">
        <v>51</v>
      </c>
      <c r="AZ9" s="2726"/>
      <c r="BA9" s="2727"/>
      <c r="BB9" s="2726"/>
      <c r="BC9" s="2728"/>
      <c r="BD9" s="2726"/>
      <c r="BE9" s="2722"/>
      <c r="BF9" s="125" t="s">
        <v>296</v>
      </c>
      <c r="BG9" s="117" t="s">
        <v>51</v>
      </c>
      <c r="BH9" s="125" t="s">
        <v>50</v>
      </c>
      <c r="BI9" s="118" t="s">
        <v>51</v>
      </c>
      <c r="BJ9" s="97"/>
      <c r="BK9" s="25"/>
      <c r="BL9" s="25"/>
    </row>
    <row r="10" spans="1:64" s="26" customFormat="1" ht="16.5" hidden="1" customHeight="1" x14ac:dyDescent="0.2">
      <c r="A10" s="98"/>
      <c r="B10" s="126"/>
      <c r="C10" s="126"/>
      <c r="D10" s="126"/>
      <c r="E10" s="126"/>
      <c r="F10" s="126"/>
      <c r="G10" s="126"/>
      <c r="H10" s="126"/>
      <c r="I10" s="126"/>
      <c r="J10" s="126"/>
      <c r="K10" s="126"/>
      <c r="L10" s="126"/>
      <c r="M10" s="126"/>
      <c r="N10" s="95"/>
      <c r="O10" s="126"/>
      <c r="P10" s="126"/>
      <c r="Q10" s="126"/>
      <c r="R10" s="126"/>
      <c r="S10" s="126"/>
      <c r="T10" s="126"/>
      <c r="U10" s="126"/>
      <c r="V10" s="126"/>
      <c r="W10" s="126"/>
      <c r="X10" s="95"/>
      <c r="Y10" s="95"/>
      <c r="Z10" s="126"/>
      <c r="AA10" s="126"/>
      <c r="AB10" s="84"/>
      <c r="AC10" s="177"/>
      <c r="AD10" s="85"/>
      <c r="AE10" s="181"/>
      <c r="AF10" s="84"/>
      <c r="AG10" s="177"/>
      <c r="AH10" s="84"/>
      <c r="AI10" s="177"/>
      <c r="AJ10" s="84"/>
      <c r="AK10" s="177"/>
      <c r="AL10" s="84"/>
      <c r="AM10" s="177"/>
      <c r="AN10" s="84"/>
      <c r="AO10" s="177"/>
      <c r="AP10" s="84"/>
      <c r="AQ10" s="177"/>
      <c r="AR10" s="84"/>
      <c r="AS10" s="177"/>
      <c r="AT10" s="84"/>
      <c r="AU10" s="177"/>
      <c r="AV10" s="84"/>
      <c r="AW10" s="177"/>
      <c r="AX10" s="84"/>
      <c r="AY10" s="177"/>
      <c r="AZ10" s="126"/>
      <c r="BA10" s="126"/>
      <c r="BB10" s="126"/>
      <c r="BC10" s="126"/>
      <c r="BD10" s="126"/>
      <c r="BE10" s="126"/>
      <c r="BF10" s="125"/>
      <c r="BG10" s="117"/>
      <c r="BH10" s="125"/>
      <c r="BI10" s="118"/>
      <c r="BJ10" s="97"/>
      <c r="BK10" s="25"/>
      <c r="BL10" s="25"/>
    </row>
    <row r="11" spans="1:64" s="25" customFormat="1" ht="26.25" customHeight="1" x14ac:dyDescent="0.2">
      <c r="A11" s="99">
        <v>5</v>
      </c>
      <c r="B11" s="74" t="s">
        <v>55</v>
      </c>
      <c r="C11" s="75"/>
      <c r="D11" s="75"/>
      <c r="E11" s="75"/>
      <c r="F11" s="75"/>
      <c r="G11" s="75"/>
      <c r="H11" s="75"/>
      <c r="I11" s="75"/>
      <c r="J11" s="75"/>
      <c r="K11" s="75"/>
      <c r="L11" s="75"/>
      <c r="M11" s="75"/>
      <c r="N11" s="165"/>
      <c r="O11" s="75"/>
      <c r="P11" s="75"/>
      <c r="Q11" s="75"/>
      <c r="R11" s="75"/>
      <c r="S11" s="75"/>
      <c r="T11" s="75"/>
      <c r="U11" s="75"/>
      <c r="V11" s="75"/>
      <c r="W11" s="75"/>
      <c r="X11" s="165"/>
      <c r="Y11" s="165"/>
      <c r="Z11" s="75"/>
      <c r="AA11" s="75"/>
      <c r="AB11" s="75"/>
      <c r="AC11" s="165"/>
      <c r="AD11" s="75"/>
      <c r="AE11" s="165"/>
      <c r="AF11" s="75"/>
      <c r="AG11" s="165"/>
      <c r="AH11" s="75"/>
      <c r="AI11" s="165"/>
      <c r="AJ11" s="75"/>
      <c r="AK11" s="165"/>
      <c r="AL11" s="75"/>
      <c r="AM11" s="165"/>
      <c r="AN11" s="75"/>
      <c r="AO11" s="165"/>
      <c r="AP11" s="75"/>
      <c r="AQ11" s="165"/>
      <c r="AR11" s="75"/>
      <c r="AS11" s="165"/>
      <c r="AT11" s="75"/>
      <c r="AU11" s="165"/>
      <c r="AV11" s="75"/>
      <c r="AW11" s="165"/>
      <c r="AX11" s="75"/>
      <c r="AY11" s="165"/>
      <c r="AZ11" s="75"/>
      <c r="BA11" s="75"/>
      <c r="BB11" s="75"/>
      <c r="BC11" s="75"/>
      <c r="BD11" s="75"/>
      <c r="BE11" s="75"/>
      <c r="BF11" s="75"/>
      <c r="BG11" s="165"/>
      <c r="BH11" s="75"/>
      <c r="BI11" s="165"/>
      <c r="BJ11" s="100"/>
    </row>
    <row r="12" spans="1:64" s="25" customFormat="1" ht="26.25" customHeight="1" x14ac:dyDescent="0.2">
      <c r="A12" s="4116"/>
      <c r="B12" s="4117"/>
      <c r="C12" s="4117"/>
      <c r="D12" s="42">
        <v>26</v>
      </c>
      <c r="E12" s="72" t="s">
        <v>122</v>
      </c>
      <c r="F12" s="73"/>
      <c r="G12" s="73"/>
      <c r="H12" s="73"/>
      <c r="I12" s="73"/>
      <c r="J12" s="73"/>
      <c r="K12" s="73"/>
      <c r="L12" s="73"/>
      <c r="M12" s="73"/>
      <c r="N12" s="166"/>
      <c r="O12" s="73"/>
      <c r="P12" s="73"/>
      <c r="Q12" s="73"/>
      <c r="R12" s="73"/>
      <c r="S12" s="73"/>
      <c r="T12" s="73"/>
      <c r="U12" s="73"/>
      <c r="V12" s="73"/>
      <c r="W12" s="73"/>
      <c r="X12" s="166"/>
      <c r="Y12" s="166"/>
      <c r="Z12" s="73"/>
      <c r="AA12" s="73"/>
      <c r="AB12" s="73"/>
      <c r="AC12" s="166"/>
      <c r="AD12" s="73"/>
      <c r="AE12" s="166"/>
      <c r="AF12" s="73"/>
      <c r="AG12" s="166"/>
      <c r="AH12" s="73"/>
      <c r="AI12" s="166"/>
      <c r="AJ12" s="73"/>
      <c r="AK12" s="166"/>
      <c r="AL12" s="73"/>
      <c r="AM12" s="166"/>
      <c r="AN12" s="73"/>
      <c r="AO12" s="166"/>
      <c r="AP12" s="73"/>
      <c r="AQ12" s="166"/>
      <c r="AR12" s="73"/>
      <c r="AS12" s="166"/>
      <c r="AT12" s="73"/>
      <c r="AU12" s="166"/>
      <c r="AV12" s="73"/>
      <c r="AW12" s="166"/>
      <c r="AX12" s="73"/>
      <c r="AY12" s="166"/>
      <c r="AZ12" s="73"/>
      <c r="BA12" s="73"/>
      <c r="BB12" s="73"/>
      <c r="BC12" s="73"/>
      <c r="BD12" s="73"/>
      <c r="BE12" s="73"/>
      <c r="BF12" s="73"/>
      <c r="BG12" s="166"/>
      <c r="BH12" s="73"/>
      <c r="BI12" s="166"/>
      <c r="BJ12" s="101"/>
    </row>
    <row r="13" spans="1:64" s="25" customFormat="1" ht="26.25" customHeight="1" x14ac:dyDescent="0.2">
      <c r="A13" s="4116"/>
      <c r="B13" s="4117"/>
      <c r="C13" s="4117"/>
      <c r="D13" s="4120"/>
      <c r="E13" s="4121"/>
      <c r="F13" s="4122"/>
      <c r="G13" s="41">
        <v>83</v>
      </c>
      <c r="H13" s="70" t="s">
        <v>123</v>
      </c>
      <c r="I13" s="71"/>
      <c r="J13" s="71"/>
      <c r="K13" s="71"/>
      <c r="L13" s="71"/>
      <c r="M13" s="71"/>
      <c r="N13" s="167"/>
      <c r="O13" s="71"/>
      <c r="P13" s="71"/>
      <c r="Q13" s="71"/>
      <c r="R13" s="71"/>
      <c r="S13" s="71"/>
      <c r="T13" s="71"/>
      <c r="U13" s="71"/>
      <c r="V13" s="71"/>
      <c r="W13" s="71"/>
      <c r="X13" s="167"/>
      <c r="Y13" s="167"/>
      <c r="Z13" s="71"/>
      <c r="AA13" s="71"/>
      <c r="AB13" s="71"/>
      <c r="AC13" s="167"/>
      <c r="AD13" s="71"/>
      <c r="AE13" s="167"/>
      <c r="AF13" s="71"/>
      <c r="AG13" s="167"/>
      <c r="AH13" s="71"/>
      <c r="AI13" s="167"/>
      <c r="AJ13" s="71"/>
      <c r="AK13" s="167"/>
      <c r="AL13" s="71"/>
      <c r="AM13" s="167"/>
      <c r="AN13" s="71"/>
      <c r="AO13" s="167"/>
      <c r="AP13" s="71"/>
      <c r="AQ13" s="167"/>
      <c r="AR13" s="71"/>
      <c r="AS13" s="167"/>
      <c r="AT13" s="71"/>
      <c r="AU13" s="167"/>
      <c r="AV13" s="71"/>
      <c r="AW13" s="167"/>
      <c r="AX13" s="71"/>
      <c r="AY13" s="167"/>
      <c r="AZ13" s="71"/>
      <c r="BA13" s="71"/>
      <c r="BB13" s="71"/>
      <c r="BC13" s="71"/>
      <c r="BD13" s="71"/>
      <c r="BE13" s="71"/>
      <c r="BF13" s="71"/>
      <c r="BG13" s="167"/>
      <c r="BH13" s="71"/>
      <c r="BI13" s="167"/>
      <c r="BJ13" s="102"/>
    </row>
    <row r="14" spans="1:64" s="137" customFormat="1" ht="232.5" customHeight="1" x14ac:dyDescent="0.2">
      <c r="A14" s="4116"/>
      <c r="B14" s="4117"/>
      <c r="C14" s="4117"/>
      <c r="D14" s="4123"/>
      <c r="E14" s="4124"/>
      <c r="F14" s="4125"/>
      <c r="G14" s="4129"/>
      <c r="H14" s="4130"/>
      <c r="I14" s="4131"/>
      <c r="J14" s="2419">
        <v>244</v>
      </c>
      <c r="K14" s="2420" t="s">
        <v>1182</v>
      </c>
      <c r="L14" s="2423" t="s">
        <v>19</v>
      </c>
      <c r="M14" s="2419">
        <v>4</v>
      </c>
      <c r="N14" s="259">
        <v>4</v>
      </c>
      <c r="O14" s="152" t="s">
        <v>1183</v>
      </c>
      <c r="P14" s="153">
        <v>82</v>
      </c>
      <c r="Q14" s="2420" t="s">
        <v>1184</v>
      </c>
      <c r="R14" s="2419">
        <v>100</v>
      </c>
      <c r="S14" s="132">
        <v>140000000</v>
      </c>
      <c r="T14" s="2420" t="s">
        <v>1185</v>
      </c>
      <c r="U14" s="39" t="s">
        <v>1186</v>
      </c>
      <c r="V14" s="133" t="s">
        <v>1187</v>
      </c>
      <c r="W14" s="132">
        <v>140000000</v>
      </c>
      <c r="X14" s="171">
        <v>6400000</v>
      </c>
      <c r="Y14" s="171">
        <v>6400000</v>
      </c>
      <c r="Z14" s="2422">
        <v>20</v>
      </c>
      <c r="AA14" s="2423" t="s">
        <v>944</v>
      </c>
      <c r="AB14" s="134"/>
      <c r="AC14" s="178"/>
      <c r="AD14" s="134"/>
      <c r="AE14" s="178"/>
      <c r="AF14" s="134"/>
      <c r="AG14" s="178"/>
      <c r="AH14" s="134">
        <v>30</v>
      </c>
      <c r="AI14" s="178">
        <v>30</v>
      </c>
      <c r="AJ14" s="134">
        <v>150</v>
      </c>
      <c r="AK14" s="178">
        <v>150</v>
      </c>
      <c r="AL14" s="134"/>
      <c r="AM14" s="178"/>
      <c r="AN14" s="134"/>
      <c r="AO14" s="178"/>
      <c r="AP14" s="134"/>
      <c r="AQ14" s="178"/>
      <c r="AR14" s="134"/>
      <c r="AS14" s="178"/>
      <c r="AT14" s="134"/>
      <c r="AU14" s="178"/>
      <c r="AV14" s="134"/>
      <c r="AW14" s="178"/>
      <c r="AX14" s="134"/>
      <c r="AY14" s="178"/>
      <c r="AZ14" s="135">
        <v>0</v>
      </c>
      <c r="BA14" s="260">
        <f>+X14</f>
        <v>6400000</v>
      </c>
      <c r="BB14" s="260">
        <f>+Y14</f>
        <v>6400000</v>
      </c>
      <c r="BC14" s="135">
        <v>0</v>
      </c>
      <c r="BD14" s="135">
        <v>20</v>
      </c>
      <c r="BE14" s="135"/>
      <c r="BF14" s="136">
        <v>42591</v>
      </c>
      <c r="BG14" s="183">
        <v>42678</v>
      </c>
      <c r="BH14" s="136">
        <v>42714</v>
      </c>
      <c r="BI14" s="183">
        <v>42734</v>
      </c>
      <c r="BJ14" s="2425" t="s">
        <v>1188</v>
      </c>
    </row>
    <row r="15" spans="1:64" s="137" customFormat="1" ht="165.75" customHeight="1" x14ac:dyDescent="0.2">
      <c r="A15" s="4116"/>
      <c r="B15" s="4117"/>
      <c r="C15" s="4117"/>
      <c r="D15" s="4126"/>
      <c r="E15" s="4127"/>
      <c r="F15" s="4128"/>
      <c r="G15" s="4132"/>
      <c r="H15" s="4133"/>
      <c r="I15" s="4134"/>
      <c r="J15" s="2419">
        <v>245</v>
      </c>
      <c r="K15" s="2420" t="s">
        <v>1189</v>
      </c>
      <c r="L15" s="2423" t="s">
        <v>19</v>
      </c>
      <c r="M15" s="2419">
        <v>1</v>
      </c>
      <c r="N15" s="168">
        <v>0</v>
      </c>
      <c r="O15" s="152" t="s">
        <v>1190</v>
      </c>
      <c r="P15" s="153">
        <v>83</v>
      </c>
      <c r="Q15" s="2420" t="s">
        <v>1191</v>
      </c>
      <c r="R15" s="2419">
        <v>100</v>
      </c>
      <c r="S15" s="132">
        <v>180000000</v>
      </c>
      <c r="T15" s="2420" t="s">
        <v>1192</v>
      </c>
      <c r="U15" s="138" t="s">
        <v>1193</v>
      </c>
      <c r="V15" s="139" t="s">
        <v>1194</v>
      </c>
      <c r="W15" s="140">
        <v>180000000</v>
      </c>
      <c r="X15" s="172">
        <v>0</v>
      </c>
      <c r="Y15" s="172">
        <v>0</v>
      </c>
      <c r="Z15" s="2422">
        <v>20</v>
      </c>
      <c r="AA15" s="2423" t="s">
        <v>944</v>
      </c>
      <c r="AB15" s="141">
        <v>55079</v>
      </c>
      <c r="AC15" s="179">
        <v>0</v>
      </c>
      <c r="AD15" s="141" t="s">
        <v>1195</v>
      </c>
      <c r="AE15" s="179">
        <v>0</v>
      </c>
      <c r="AF15" s="141">
        <v>45607</v>
      </c>
      <c r="AG15" s="179">
        <v>0</v>
      </c>
      <c r="AH15" s="141">
        <v>140912</v>
      </c>
      <c r="AI15" s="179">
        <v>0</v>
      </c>
      <c r="AJ15" s="141">
        <v>365607</v>
      </c>
      <c r="AK15" s="179">
        <v>0</v>
      </c>
      <c r="AL15" s="141">
        <v>75612</v>
      </c>
      <c r="AM15" s="179">
        <v>0</v>
      </c>
      <c r="AN15" s="141">
        <v>12718</v>
      </c>
      <c r="AO15" s="179">
        <v>0</v>
      </c>
      <c r="AP15" s="141">
        <v>2145</v>
      </c>
      <c r="AQ15" s="179"/>
      <c r="AR15" s="141"/>
      <c r="AS15" s="179"/>
      <c r="AT15" s="141"/>
      <c r="AU15" s="179"/>
      <c r="AV15" s="141"/>
      <c r="AW15" s="179"/>
      <c r="AX15" s="141"/>
      <c r="AY15" s="179"/>
      <c r="AZ15" s="2418">
        <v>0</v>
      </c>
      <c r="BA15" s="135">
        <f>+X15</f>
        <v>0</v>
      </c>
      <c r="BB15" s="2418">
        <v>0</v>
      </c>
      <c r="BC15" s="2418">
        <v>0</v>
      </c>
      <c r="BD15" s="2418">
        <v>20</v>
      </c>
      <c r="BE15" s="2418"/>
      <c r="BF15" s="142">
        <v>42598</v>
      </c>
      <c r="BG15" s="184"/>
      <c r="BH15" s="142">
        <v>42714</v>
      </c>
      <c r="BI15" s="184"/>
      <c r="BJ15" s="143" t="s">
        <v>1196</v>
      </c>
    </row>
    <row r="16" spans="1:64" s="137" customFormat="1" ht="26.25" customHeight="1" x14ac:dyDescent="0.2">
      <c r="A16" s="4116"/>
      <c r="B16" s="4117"/>
      <c r="C16" s="4117"/>
      <c r="D16" s="144">
        <v>28</v>
      </c>
      <c r="E16" s="128" t="s">
        <v>56</v>
      </c>
      <c r="F16" s="128"/>
      <c r="G16" s="128"/>
      <c r="H16" s="128"/>
      <c r="I16" s="128"/>
      <c r="J16" s="128"/>
      <c r="K16" s="128"/>
      <c r="L16" s="128"/>
      <c r="M16" s="128"/>
      <c r="N16" s="157"/>
      <c r="O16" s="128"/>
      <c r="P16" s="128"/>
      <c r="Q16" s="128"/>
      <c r="R16" s="128"/>
      <c r="S16" s="128"/>
      <c r="T16" s="128"/>
      <c r="U16" s="128"/>
      <c r="V16" s="128"/>
      <c r="W16" s="128"/>
      <c r="X16" s="157"/>
      <c r="Y16" s="157"/>
      <c r="Z16" s="128"/>
      <c r="AA16" s="128"/>
      <c r="AB16" s="128"/>
      <c r="AC16" s="157"/>
      <c r="AD16" s="128"/>
      <c r="AE16" s="157"/>
      <c r="AF16" s="128"/>
      <c r="AG16" s="157"/>
      <c r="AH16" s="128"/>
      <c r="AI16" s="157"/>
      <c r="AJ16" s="128"/>
      <c r="AK16" s="157"/>
      <c r="AL16" s="128"/>
      <c r="AM16" s="157"/>
      <c r="AN16" s="128"/>
      <c r="AO16" s="157"/>
      <c r="AP16" s="128"/>
      <c r="AQ16" s="157"/>
      <c r="AR16" s="128"/>
      <c r="AS16" s="157"/>
      <c r="AT16" s="128"/>
      <c r="AU16" s="157"/>
      <c r="AV16" s="128"/>
      <c r="AW16" s="157"/>
      <c r="AX16" s="128"/>
      <c r="AY16" s="157"/>
      <c r="AZ16" s="128"/>
      <c r="BA16" s="128"/>
      <c r="BB16" s="128"/>
      <c r="BC16" s="128"/>
      <c r="BD16" s="128"/>
      <c r="BE16" s="128"/>
      <c r="BF16" s="128"/>
      <c r="BG16" s="157"/>
      <c r="BH16" s="128"/>
      <c r="BI16" s="157"/>
      <c r="BJ16" s="145"/>
    </row>
    <row r="17" spans="1:62" s="137" customFormat="1" ht="28.5" customHeight="1" x14ac:dyDescent="0.2">
      <c r="A17" s="4116"/>
      <c r="B17" s="4117"/>
      <c r="C17" s="4117"/>
      <c r="D17" s="4135"/>
      <c r="E17" s="4135"/>
      <c r="F17" s="4135"/>
      <c r="G17" s="146">
        <v>89</v>
      </c>
      <c r="H17" s="147" t="s">
        <v>1197</v>
      </c>
      <c r="I17" s="148"/>
      <c r="J17" s="148"/>
      <c r="K17" s="148"/>
      <c r="L17" s="148"/>
      <c r="M17" s="148"/>
      <c r="N17" s="169"/>
      <c r="O17" s="148"/>
      <c r="P17" s="148"/>
      <c r="Q17" s="148"/>
      <c r="R17" s="148"/>
      <c r="S17" s="148"/>
      <c r="T17" s="148"/>
      <c r="U17" s="148"/>
      <c r="V17" s="148"/>
      <c r="W17" s="148"/>
      <c r="X17" s="169"/>
      <c r="Y17" s="169"/>
      <c r="Z17" s="148"/>
      <c r="AA17" s="148"/>
      <c r="AB17" s="148"/>
      <c r="AC17" s="169"/>
      <c r="AD17" s="148"/>
      <c r="AE17" s="169"/>
      <c r="AF17" s="148"/>
      <c r="AG17" s="169"/>
      <c r="AH17" s="148"/>
      <c r="AI17" s="169"/>
      <c r="AJ17" s="148"/>
      <c r="AK17" s="169"/>
      <c r="AL17" s="148"/>
      <c r="AM17" s="169"/>
      <c r="AN17" s="148"/>
      <c r="AO17" s="169"/>
      <c r="AP17" s="148"/>
      <c r="AQ17" s="169"/>
      <c r="AR17" s="148"/>
      <c r="AS17" s="169"/>
      <c r="AT17" s="148"/>
      <c r="AU17" s="169"/>
      <c r="AV17" s="148"/>
      <c r="AW17" s="169"/>
      <c r="AX17" s="148"/>
      <c r="AY17" s="169"/>
      <c r="AZ17" s="148"/>
      <c r="BA17" s="148"/>
      <c r="BB17" s="148"/>
      <c r="BC17" s="148"/>
      <c r="BD17" s="148"/>
      <c r="BE17" s="148"/>
      <c r="BF17" s="148"/>
      <c r="BG17" s="169"/>
      <c r="BH17" s="148"/>
      <c r="BI17" s="169"/>
      <c r="BJ17" s="149"/>
    </row>
    <row r="18" spans="1:62" s="137" customFormat="1" ht="67.5" customHeight="1" x14ac:dyDescent="0.2">
      <c r="A18" s="4116"/>
      <c r="B18" s="4117"/>
      <c r="C18" s="4117"/>
      <c r="D18" s="4135"/>
      <c r="E18" s="4135"/>
      <c r="F18" s="4135"/>
      <c r="G18" s="4135"/>
      <c r="H18" s="4135"/>
      <c r="I18" s="4135"/>
      <c r="J18" s="4135">
        <v>288</v>
      </c>
      <c r="K18" s="4115" t="s">
        <v>1198</v>
      </c>
      <c r="L18" s="4115" t="s">
        <v>1199</v>
      </c>
      <c r="M18" s="4084">
        <v>1</v>
      </c>
      <c r="N18" s="4092">
        <v>1</v>
      </c>
      <c r="O18" s="4095" t="s">
        <v>1200</v>
      </c>
      <c r="P18" s="4097">
        <v>81</v>
      </c>
      <c r="Q18" s="2666" t="s">
        <v>1201</v>
      </c>
      <c r="R18" s="4084">
        <v>100</v>
      </c>
      <c r="S18" s="4099">
        <v>529347601</v>
      </c>
      <c r="T18" s="4110" t="s">
        <v>1202</v>
      </c>
      <c r="U18" s="4110" t="s">
        <v>1203</v>
      </c>
      <c r="V18" s="2420" t="s">
        <v>1204</v>
      </c>
      <c r="W18" s="132">
        <v>48873333</v>
      </c>
      <c r="X18" s="171">
        <f>7786666+14000000</f>
        <v>21786666</v>
      </c>
      <c r="Y18" s="171">
        <f>7786666+14000000</f>
        <v>21786666</v>
      </c>
      <c r="Z18" s="4112">
        <v>20</v>
      </c>
      <c r="AA18" s="4114" t="s">
        <v>944</v>
      </c>
      <c r="AB18" s="4087">
        <v>55079</v>
      </c>
      <c r="AC18" s="4089">
        <f>+AB18*N18</f>
        <v>55079</v>
      </c>
      <c r="AD18" s="4087" t="s">
        <v>1195</v>
      </c>
      <c r="AE18" s="4089">
        <f>+AD18*N18</f>
        <v>63164</v>
      </c>
      <c r="AF18" s="4087">
        <v>45607</v>
      </c>
      <c r="AG18" s="4089">
        <f>+AF18*N18</f>
        <v>45607</v>
      </c>
      <c r="AH18" s="4087">
        <v>140912</v>
      </c>
      <c r="AI18" s="4089">
        <f>+N18*AH18</f>
        <v>140912</v>
      </c>
      <c r="AJ18" s="4087">
        <v>365607</v>
      </c>
      <c r="AK18" s="4089">
        <f>+AJ18*N18</f>
        <v>365607</v>
      </c>
      <c r="AL18" s="4087">
        <v>75612</v>
      </c>
      <c r="AM18" s="4089">
        <f>+AL18*$N$18</f>
        <v>75612</v>
      </c>
      <c r="AN18" s="4087">
        <v>12718</v>
      </c>
      <c r="AO18" s="4089">
        <f>+AN18*$N$18</f>
        <v>12718</v>
      </c>
      <c r="AP18" s="4087">
        <v>2145</v>
      </c>
      <c r="AQ18" s="4089">
        <f>+AP18*$N$18</f>
        <v>2145</v>
      </c>
      <c r="AR18" s="4087"/>
      <c r="AS18" s="4089"/>
      <c r="AT18" s="4087"/>
      <c r="AU18" s="4089"/>
      <c r="AV18" s="4087"/>
      <c r="AW18" s="4089"/>
      <c r="AX18" s="4087"/>
      <c r="AY18" s="4089"/>
      <c r="AZ18" s="4084">
        <v>8</v>
      </c>
      <c r="BA18" s="2906">
        <f>+X18+X19+X20+X21</f>
        <v>291703831</v>
      </c>
      <c r="BB18" s="2906">
        <f>+Y18+Y19+Y20+Y21</f>
        <v>291703831</v>
      </c>
      <c r="BC18" s="4081">
        <f>+BB18/BA18</f>
        <v>1</v>
      </c>
      <c r="BD18" s="4084">
        <v>20</v>
      </c>
      <c r="BE18" s="4084" t="s">
        <v>1205</v>
      </c>
      <c r="BF18" s="4072">
        <v>42598</v>
      </c>
      <c r="BG18" s="4074">
        <v>42629</v>
      </c>
      <c r="BH18" s="4072" t="s">
        <v>1206</v>
      </c>
      <c r="BI18" s="4074">
        <v>42734</v>
      </c>
      <c r="BJ18" s="4077" t="s">
        <v>1188</v>
      </c>
    </row>
    <row r="19" spans="1:62" s="137" customFormat="1" ht="67.5" customHeight="1" x14ac:dyDescent="0.2">
      <c r="A19" s="4116"/>
      <c r="B19" s="4117"/>
      <c r="C19" s="4117"/>
      <c r="D19" s="4135"/>
      <c r="E19" s="4135"/>
      <c r="F19" s="4135"/>
      <c r="G19" s="4135"/>
      <c r="H19" s="4135"/>
      <c r="I19" s="4135"/>
      <c r="J19" s="4135"/>
      <c r="K19" s="4136"/>
      <c r="L19" s="4136"/>
      <c r="M19" s="4085"/>
      <c r="N19" s="4093"/>
      <c r="O19" s="4096"/>
      <c r="P19" s="4098"/>
      <c r="Q19" s="2667"/>
      <c r="R19" s="4085"/>
      <c r="S19" s="4100"/>
      <c r="T19" s="4110"/>
      <c r="U19" s="4110"/>
      <c r="V19" s="2420" t="s">
        <v>1207</v>
      </c>
      <c r="W19" s="132">
        <v>136050000</v>
      </c>
      <c r="X19" s="171">
        <v>61500000</v>
      </c>
      <c r="Y19" s="171">
        <v>61500000</v>
      </c>
      <c r="Z19" s="4112"/>
      <c r="AA19" s="4114"/>
      <c r="AB19" s="4087"/>
      <c r="AC19" s="4090"/>
      <c r="AD19" s="4087"/>
      <c r="AE19" s="4090"/>
      <c r="AF19" s="4087"/>
      <c r="AG19" s="4090"/>
      <c r="AH19" s="4087"/>
      <c r="AI19" s="4090"/>
      <c r="AJ19" s="4087"/>
      <c r="AK19" s="4090"/>
      <c r="AL19" s="4087"/>
      <c r="AM19" s="4090"/>
      <c r="AN19" s="4087"/>
      <c r="AO19" s="4090"/>
      <c r="AP19" s="4087"/>
      <c r="AQ19" s="4090"/>
      <c r="AR19" s="4087"/>
      <c r="AS19" s="4090"/>
      <c r="AT19" s="4087"/>
      <c r="AU19" s="4090"/>
      <c r="AV19" s="4087"/>
      <c r="AW19" s="4090"/>
      <c r="AX19" s="4087"/>
      <c r="AY19" s="4090"/>
      <c r="AZ19" s="4085"/>
      <c r="BA19" s="2907"/>
      <c r="BB19" s="2907"/>
      <c r="BC19" s="4082"/>
      <c r="BD19" s="4085"/>
      <c r="BE19" s="4085"/>
      <c r="BF19" s="4072"/>
      <c r="BG19" s="4075"/>
      <c r="BH19" s="4072"/>
      <c r="BI19" s="4075"/>
      <c r="BJ19" s="4077"/>
    </row>
    <row r="20" spans="1:62" s="137" customFormat="1" ht="86.25" customHeight="1" x14ac:dyDescent="0.2">
      <c r="A20" s="4116"/>
      <c r="B20" s="4117"/>
      <c r="C20" s="4117"/>
      <c r="D20" s="4135"/>
      <c r="E20" s="4135"/>
      <c r="F20" s="4135"/>
      <c r="G20" s="4135"/>
      <c r="H20" s="4135"/>
      <c r="I20" s="4135"/>
      <c r="J20" s="4135"/>
      <c r="K20" s="4136"/>
      <c r="L20" s="4136"/>
      <c r="M20" s="4085"/>
      <c r="N20" s="4093"/>
      <c r="O20" s="4096"/>
      <c r="P20" s="4098"/>
      <c r="Q20" s="2667"/>
      <c r="R20" s="4085"/>
      <c r="S20" s="4100"/>
      <c r="T20" s="4110"/>
      <c r="U20" s="4110"/>
      <c r="V20" s="2420" t="s">
        <v>1208</v>
      </c>
      <c r="W20" s="132">
        <v>24000000</v>
      </c>
      <c r="X20" s="171">
        <v>11990000</v>
      </c>
      <c r="Y20" s="171">
        <v>11990000</v>
      </c>
      <c r="Z20" s="4112"/>
      <c r="AA20" s="4114"/>
      <c r="AB20" s="4087"/>
      <c r="AC20" s="4090"/>
      <c r="AD20" s="4087"/>
      <c r="AE20" s="4090"/>
      <c r="AF20" s="4087"/>
      <c r="AG20" s="4090"/>
      <c r="AH20" s="4087"/>
      <c r="AI20" s="4090"/>
      <c r="AJ20" s="4087"/>
      <c r="AK20" s="4090"/>
      <c r="AL20" s="4087"/>
      <c r="AM20" s="4090"/>
      <c r="AN20" s="4087"/>
      <c r="AO20" s="4090"/>
      <c r="AP20" s="4087"/>
      <c r="AQ20" s="4090"/>
      <c r="AR20" s="4087"/>
      <c r="AS20" s="4090"/>
      <c r="AT20" s="4087"/>
      <c r="AU20" s="4090"/>
      <c r="AV20" s="4087"/>
      <c r="AW20" s="4090"/>
      <c r="AX20" s="4087"/>
      <c r="AY20" s="4090"/>
      <c r="AZ20" s="4085"/>
      <c r="BA20" s="2907"/>
      <c r="BB20" s="2907"/>
      <c r="BC20" s="4082"/>
      <c r="BD20" s="4085"/>
      <c r="BE20" s="4085"/>
      <c r="BF20" s="4072"/>
      <c r="BG20" s="4075"/>
      <c r="BH20" s="4072"/>
      <c r="BI20" s="4075"/>
      <c r="BJ20" s="4077"/>
    </row>
    <row r="21" spans="1:62" s="137" customFormat="1" ht="127.5" customHeight="1" x14ac:dyDescent="0.2">
      <c r="A21" s="4118"/>
      <c r="B21" s="4119"/>
      <c r="C21" s="4119"/>
      <c r="D21" s="4084"/>
      <c r="E21" s="4084"/>
      <c r="F21" s="4084"/>
      <c r="G21" s="4084"/>
      <c r="H21" s="4084"/>
      <c r="I21" s="4084"/>
      <c r="J21" s="4084"/>
      <c r="K21" s="4136"/>
      <c r="L21" s="4136"/>
      <c r="M21" s="4085"/>
      <c r="N21" s="4094"/>
      <c r="O21" s="4096"/>
      <c r="P21" s="4098"/>
      <c r="Q21" s="2667"/>
      <c r="R21" s="4085"/>
      <c r="S21" s="4100"/>
      <c r="T21" s="4111"/>
      <c r="U21" s="4111"/>
      <c r="V21" s="2421" t="s">
        <v>1209</v>
      </c>
      <c r="W21" s="2424">
        <v>320424268</v>
      </c>
      <c r="X21" s="173">
        <v>196427165</v>
      </c>
      <c r="Y21" s="173">
        <v>196427165</v>
      </c>
      <c r="Z21" s="4113"/>
      <c r="AA21" s="4115"/>
      <c r="AB21" s="4088"/>
      <c r="AC21" s="4091"/>
      <c r="AD21" s="4088"/>
      <c r="AE21" s="4091"/>
      <c r="AF21" s="4088"/>
      <c r="AG21" s="4091"/>
      <c r="AH21" s="4088"/>
      <c r="AI21" s="4091"/>
      <c r="AJ21" s="4088"/>
      <c r="AK21" s="4091"/>
      <c r="AL21" s="4088"/>
      <c r="AM21" s="4091"/>
      <c r="AN21" s="4088"/>
      <c r="AO21" s="4091"/>
      <c r="AP21" s="4088"/>
      <c r="AQ21" s="4091"/>
      <c r="AR21" s="4088"/>
      <c r="AS21" s="4091"/>
      <c r="AT21" s="4088"/>
      <c r="AU21" s="4091"/>
      <c r="AV21" s="4088"/>
      <c r="AW21" s="4091"/>
      <c r="AX21" s="4088"/>
      <c r="AY21" s="4091"/>
      <c r="AZ21" s="4086"/>
      <c r="BA21" s="2908"/>
      <c r="BB21" s="2908"/>
      <c r="BC21" s="4083"/>
      <c r="BD21" s="4086"/>
      <c r="BE21" s="4086"/>
      <c r="BF21" s="4073"/>
      <c r="BG21" s="4076"/>
      <c r="BH21" s="4073"/>
      <c r="BI21" s="4076"/>
      <c r="BJ21" s="4078"/>
    </row>
    <row r="22" spans="1:62" s="96" customFormat="1" ht="21.75" customHeight="1" thickBot="1" x14ac:dyDescent="0.3">
      <c r="A22" s="4079" t="s">
        <v>119</v>
      </c>
      <c r="B22" s="4080"/>
      <c r="C22" s="4080"/>
      <c r="D22" s="4080"/>
      <c r="E22" s="4080"/>
      <c r="F22" s="4080"/>
      <c r="G22" s="4080"/>
      <c r="H22" s="4080"/>
      <c r="I22" s="4080"/>
      <c r="J22" s="4080"/>
      <c r="K22" s="4080"/>
      <c r="L22" s="4080"/>
      <c r="M22" s="4080"/>
      <c r="N22" s="4080"/>
      <c r="O22" s="4080"/>
      <c r="P22" s="4080"/>
      <c r="Q22" s="4080"/>
      <c r="R22" s="4080"/>
      <c r="S22" s="104">
        <f>SUM(S14:S18)</f>
        <v>849347601</v>
      </c>
      <c r="T22" s="105"/>
      <c r="U22" s="105"/>
      <c r="V22" s="106"/>
      <c r="W22" s="120">
        <f>SUM(W14:W21)</f>
        <v>849347601</v>
      </c>
      <c r="X22" s="174">
        <f>SUM(X14:X21)</f>
        <v>298103831</v>
      </c>
      <c r="Y22" s="175">
        <f>SUM(Y14:Y21)</f>
        <v>298103831</v>
      </c>
      <c r="Z22" s="107"/>
      <c r="AA22" s="108"/>
      <c r="AB22" s="109"/>
      <c r="AC22" s="180"/>
      <c r="AD22" s="109"/>
      <c r="AE22" s="180"/>
      <c r="AF22" s="109"/>
      <c r="AG22" s="180"/>
      <c r="AH22" s="109"/>
      <c r="AI22" s="180"/>
      <c r="AJ22" s="109"/>
      <c r="AK22" s="180"/>
      <c r="AL22" s="109"/>
      <c r="AM22" s="180"/>
      <c r="AN22" s="109"/>
      <c r="AO22" s="180"/>
      <c r="AP22" s="109"/>
      <c r="AQ22" s="180"/>
      <c r="AR22" s="109"/>
      <c r="AS22" s="180"/>
      <c r="AT22" s="109"/>
      <c r="AU22" s="180"/>
      <c r="AV22" s="109"/>
      <c r="AW22" s="180"/>
      <c r="AX22" s="109"/>
      <c r="AY22" s="180"/>
      <c r="AZ22" s="109"/>
      <c r="BA22" s="120">
        <f>SUM(BA14:BA21)</f>
        <v>298103831</v>
      </c>
      <c r="BB22" s="120">
        <f>SUM(BB14:BB21)</f>
        <v>298103831</v>
      </c>
      <c r="BC22" s="109"/>
      <c r="BD22" s="109"/>
      <c r="BE22" s="109"/>
      <c r="BF22" s="110"/>
      <c r="BG22" s="185"/>
      <c r="BH22" s="110"/>
      <c r="BI22" s="185"/>
      <c r="BJ22" s="111"/>
    </row>
    <row r="23" spans="1:62" x14ac:dyDescent="0.2">
      <c r="S23" s="1507"/>
      <c r="W23" s="27"/>
      <c r="X23" s="170"/>
    </row>
    <row r="25" spans="1:62" ht="24.75" customHeight="1" x14ac:dyDescent="0.25">
      <c r="S25" s="1513"/>
      <c r="T25" s="1514"/>
      <c r="U25" s="1514"/>
      <c r="V25" s="1513"/>
      <c r="W25" s="1515"/>
      <c r="X25" s="1516"/>
      <c r="Y25" s="1517"/>
      <c r="Z25" s="1513"/>
      <c r="AA25" s="1513"/>
      <c r="AB25" s="1514"/>
      <c r="AC25" s="1518"/>
      <c r="AD25" s="1514"/>
      <c r="AE25" s="1518"/>
      <c r="AF25" s="1514"/>
      <c r="AG25" s="1518"/>
      <c r="AH25" s="1514"/>
      <c r="AI25" s="1518"/>
      <c r="AJ25" s="1514"/>
      <c r="AK25" s="1518"/>
      <c r="AL25" s="1514"/>
      <c r="AM25" s="1518"/>
      <c r="AN25" s="1514"/>
      <c r="AO25" s="1518"/>
      <c r="AP25" s="1514"/>
      <c r="AQ25" s="1518"/>
      <c r="AR25" s="1514"/>
      <c r="AS25" s="1518"/>
      <c r="AT25" s="1514"/>
      <c r="AU25" s="1518"/>
      <c r="AV25" s="1514"/>
      <c r="AW25" s="1518"/>
      <c r="AX25" s="1514"/>
      <c r="AY25" s="1518"/>
      <c r="AZ25" s="1519"/>
      <c r="BA25" s="1513"/>
      <c r="BB25" s="1519"/>
    </row>
    <row r="26" spans="1:62" x14ac:dyDescent="0.2">
      <c r="S26" s="1514"/>
      <c r="T26" s="1514"/>
      <c r="U26" s="1514"/>
      <c r="V26" s="1513"/>
      <c r="W26" s="1513"/>
      <c r="X26" s="1520"/>
      <c r="Y26" s="1520"/>
      <c r="Z26" s="1513"/>
      <c r="AA26" s="1513"/>
      <c r="AB26" s="1514"/>
      <c r="AC26" s="1518"/>
      <c r="AD26" s="1514"/>
      <c r="AE26" s="1518"/>
      <c r="AF26" s="1514"/>
      <c r="AG26" s="1518"/>
      <c r="AH26" s="1514"/>
      <c r="AI26" s="1518"/>
      <c r="AJ26" s="1514"/>
      <c r="AK26" s="1518"/>
      <c r="AL26" s="1514"/>
      <c r="AM26" s="1518"/>
      <c r="AN26" s="1514"/>
      <c r="AO26" s="1518"/>
      <c r="AP26" s="1514"/>
      <c r="AQ26" s="1518"/>
      <c r="AR26" s="1514"/>
      <c r="AS26" s="1518"/>
      <c r="AT26" s="1514"/>
      <c r="AU26" s="1518"/>
      <c r="AV26" s="1514"/>
      <c r="AW26" s="1518"/>
      <c r="AX26" s="1514"/>
      <c r="AY26" s="1518"/>
      <c r="AZ26" s="1519"/>
      <c r="BA26" s="1519"/>
      <c r="BB26" s="1519"/>
    </row>
    <row r="29" spans="1:62" ht="15" x14ac:dyDescent="0.25">
      <c r="O29" s="1521" t="s">
        <v>1210</v>
      </c>
      <c r="P29" s="38"/>
    </row>
    <row r="30" spans="1:62" x14ac:dyDescent="0.2">
      <c r="O30" s="27" t="s">
        <v>1211</v>
      </c>
    </row>
  </sheetData>
  <sheetProtection algorithmName="SHA-512" hashValue="9CitBfJhfUDwjUjia0B0VhJuIAonnwgXW8wr89RrpycHigYJ5S8+DQa9XhlOp5NSuE3265GSmpWQaoPHCaNz0g==" saltValue="kOY123kGhpa8JyXvdhNFXQ==" spinCount="100000" sheet="1" objects="1" scenarios="1"/>
  <mergeCells count="106">
    <mergeCell ref="A1:BF4"/>
    <mergeCell ref="A5:M6"/>
    <mergeCell ref="Q5:BJ5"/>
    <mergeCell ref="Q6:AA6"/>
    <mergeCell ref="AB6:AY6"/>
    <mergeCell ref="BF6:BJ6"/>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8"/>
    <mergeCell ref="AB8:AC8"/>
    <mergeCell ref="AD8:AE8"/>
    <mergeCell ref="AF8:AG8"/>
    <mergeCell ref="AH8:AI8"/>
    <mergeCell ref="AJ8:AK8"/>
    <mergeCell ref="AL8:AM8"/>
    <mergeCell ref="AN8:AO8"/>
    <mergeCell ref="AB7:AM7"/>
    <mergeCell ref="AN7:AY7"/>
    <mergeCell ref="AZ7:BE7"/>
    <mergeCell ref="AP8:AQ8"/>
    <mergeCell ref="AR8:AS8"/>
    <mergeCell ref="AT8:AU8"/>
    <mergeCell ref="AV8:AW8"/>
    <mergeCell ref="BE8:BE9"/>
    <mergeCell ref="AX8:AY8"/>
    <mergeCell ref="AZ8:AZ9"/>
    <mergeCell ref="BA8:BA9"/>
    <mergeCell ref="BB8:BB9"/>
    <mergeCell ref="BC8:BC9"/>
    <mergeCell ref="BD8:BD9"/>
    <mergeCell ref="A12:C21"/>
    <mergeCell ref="D13:F15"/>
    <mergeCell ref="G14:I15"/>
    <mergeCell ref="D17:F21"/>
    <mergeCell ref="G18:I21"/>
    <mergeCell ref="J18:J21"/>
    <mergeCell ref="K18:K21"/>
    <mergeCell ref="L18:L21"/>
    <mergeCell ref="M18:M21"/>
    <mergeCell ref="W7:Y8"/>
    <mergeCell ref="Z7:Z9"/>
    <mergeCell ref="AA7:AA9"/>
    <mergeCell ref="Q7:Q9"/>
    <mergeCell ref="R7:R9"/>
    <mergeCell ref="S7:S9"/>
    <mergeCell ref="T7:T9"/>
    <mergeCell ref="U7:U9"/>
    <mergeCell ref="T18:T21"/>
    <mergeCell ref="U18:U21"/>
    <mergeCell ref="Z18:Z21"/>
    <mergeCell ref="AA18:AA21"/>
    <mergeCell ref="AB18:AB21"/>
    <mergeCell ref="AC18:AC21"/>
    <mergeCell ref="N18:N21"/>
    <mergeCell ref="O18:O21"/>
    <mergeCell ref="P18:P21"/>
    <mergeCell ref="Q18:Q21"/>
    <mergeCell ref="R18:R21"/>
    <mergeCell ref="S18:S21"/>
    <mergeCell ref="AL18:AL21"/>
    <mergeCell ref="AM18:AM21"/>
    <mergeCell ref="AN18:AN21"/>
    <mergeCell ref="AO18:AO21"/>
    <mergeCell ref="AD18:AD21"/>
    <mergeCell ref="AE18:AE21"/>
    <mergeCell ref="AF18:AF21"/>
    <mergeCell ref="AG18:AG21"/>
    <mergeCell ref="AH18:AH21"/>
    <mergeCell ref="AI18:AI21"/>
    <mergeCell ref="BH18:BH21"/>
    <mergeCell ref="BI18:BI21"/>
    <mergeCell ref="BJ18:BJ21"/>
    <mergeCell ref="A22:R22"/>
    <mergeCell ref="BB18:BB21"/>
    <mergeCell ref="BC18:BC21"/>
    <mergeCell ref="BD18:BD21"/>
    <mergeCell ref="BE18:BE21"/>
    <mergeCell ref="BF18:BF21"/>
    <mergeCell ref="BG18:BG21"/>
    <mergeCell ref="AV18:AV21"/>
    <mergeCell ref="AW18:AW21"/>
    <mergeCell ref="AX18:AX21"/>
    <mergeCell ref="AY18:AY21"/>
    <mergeCell ref="AZ18:AZ21"/>
    <mergeCell ref="BA18:BA21"/>
    <mergeCell ref="AP18:AP21"/>
    <mergeCell ref="AQ18:AQ21"/>
    <mergeCell ref="AR18:AR21"/>
    <mergeCell ref="AS18:AS21"/>
    <mergeCell ref="AT18:AT21"/>
    <mergeCell ref="AU18:AU21"/>
    <mergeCell ref="AJ18:AJ21"/>
    <mergeCell ref="AK18:AK21"/>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S. ADMINISTRATIVA</vt:lpstr>
      <vt:lpstr>S. PLANEACIÓN</vt:lpstr>
      <vt:lpstr>S. HACIENDA</vt:lpstr>
      <vt:lpstr>S. AGUAS E INFRAESTRUCTURA</vt:lpstr>
      <vt:lpstr>S. INTERIOR</vt:lpstr>
      <vt:lpstr>CULTURA</vt:lpstr>
      <vt:lpstr>S. INDUSTRIA, COMERCIO ,TURISMO</vt:lpstr>
      <vt:lpstr>S. AGRICULTURA</vt:lpstr>
      <vt:lpstr>S. PRIVADA</vt:lpstr>
      <vt:lpstr>S. EDUCACIÓN</vt:lpstr>
      <vt:lpstr>S. FAMILIA</vt:lpstr>
      <vt:lpstr>S. REP. JUDICIAL</vt:lpstr>
      <vt:lpstr>S. SALUD</vt:lpstr>
      <vt:lpstr>INDEPORTES</vt:lpstr>
      <vt:lpstr>PROMOTORA</vt:lpstr>
      <vt:lpstr>IDTQ</vt:lpstr>
      <vt:lpstr>'S. PLANEACIÓN'!Títulos_a_imprimir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Sthepanie</dc:creator>
  <cp:keywords/>
  <dc:description/>
  <cp:lastModifiedBy>DIRPLANEACION01</cp:lastModifiedBy>
  <cp:revision/>
  <dcterms:created xsi:type="dcterms:W3CDTF">2016-07-05T14:09:25Z</dcterms:created>
  <dcterms:modified xsi:type="dcterms:W3CDTF">2017-01-31T19:39:47Z</dcterms:modified>
  <cp:category/>
  <cp:contentStatus/>
</cp:coreProperties>
</file>